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fileSharing userName="Ron Mossberg" algorithmName="SHA-512" hashValue="ImI5w8mz8PT0JAr3hV/+J+2mZfD9AueVrfo4C/zFHvsQWI/XvLpMJPI5O29PWRGXO4LgpcT4nvK7hbCEaCsV7w==" saltValue="OHi5jat/VtlUkE6qqHvp3Q==" spinCount="1000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nmo\My Drive\Windemere Township\Budget\2024\"/>
    </mc:Choice>
  </mc:AlternateContent>
  <xr:revisionPtr revIDLastSave="0" documentId="8_{C7F9DB55-EC15-4A48-AE82-96A29D662512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SUMMARY" sheetId="5" r:id="rId1"/>
    <sheet name="BUDGET" sheetId="3" r:id="rId2"/>
    <sheet name="CAPITAL" sheetId="7" r:id="rId3"/>
    <sheet name="CONTRACTORS" sheetId="9" r:id="rId4"/>
    <sheet name="PROJECTION" sheetId="6" r:id="rId5"/>
    <sheet name="HISTORICAL" sheetId="8" r:id="rId6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BUDGET!$A$1:$O$168</definedName>
    <definedName name="_xlnm.Print_Area" localSheetId="4">PROJECTION!$A$1:$I$18</definedName>
    <definedName name="_xlnm.Print_Titles" localSheetId="1">BUDGET!$1:$5</definedName>
    <definedName name="_xlnm.Print_Titles" localSheetId="2">CAPITAL!$1:$8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5" i="3" l="1"/>
  <c r="H52" i="3"/>
  <c r="H90" i="3"/>
  <c r="H126" i="3" l="1"/>
  <c r="H165" i="3"/>
  <c r="H141" i="3"/>
  <c r="B9" i="9"/>
  <c r="H142" i="3" s="1"/>
  <c r="H29" i="3"/>
  <c r="O153" i="3"/>
  <c r="O151" i="3"/>
  <c r="O150" i="3"/>
  <c r="O148" i="3"/>
  <c r="O147" i="3"/>
  <c r="O146" i="3"/>
  <c r="O145" i="3"/>
  <c r="O144" i="3"/>
  <c r="O143" i="3"/>
  <c r="O142" i="3"/>
  <c r="O141" i="3"/>
  <c r="O139" i="3"/>
  <c r="O138" i="3"/>
  <c r="O137" i="3"/>
  <c r="O136" i="3"/>
  <c r="O135" i="3"/>
  <c r="O134" i="3"/>
  <c r="O133" i="3"/>
  <c r="O132" i="3"/>
  <c r="O131" i="3"/>
  <c r="O130" i="3"/>
  <c r="O129" i="3"/>
  <c r="O128" i="3"/>
  <c r="O127" i="3"/>
  <c r="O126" i="3"/>
  <c r="O122" i="3"/>
  <c r="O121" i="3"/>
  <c r="O119" i="3"/>
  <c r="O118" i="3"/>
  <c r="O114" i="3"/>
  <c r="O112" i="3"/>
  <c r="O111" i="3"/>
  <c r="O109" i="3"/>
  <c r="O108" i="3"/>
  <c r="O107" i="3"/>
  <c r="O106" i="3"/>
  <c r="O105" i="3"/>
  <c r="O101" i="3"/>
  <c r="O100" i="3"/>
  <c r="O99" i="3"/>
  <c r="O96" i="3"/>
  <c r="O93" i="3"/>
  <c r="O92" i="3"/>
  <c r="O91" i="3"/>
  <c r="O90" i="3"/>
  <c r="O84" i="3"/>
  <c r="O83" i="3"/>
  <c r="O82" i="3"/>
  <c r="O81" i="3"/>
  <c r="O80" i="3"/>
  <c r="O79" i="3"/>
  <c r="O78" i="3"/>
  <c r="O77" i="3"/>
  <c r="O76" i="3"/>
  <c r="O75" i="3"/>
  <c r="O74" i="3"/>
  <c r="O73" i="3"/>
  <c r="O72" i="3"/>
  <c r="O71" i="3"/>
  <c r="O70" i="3"/>
  <c r="O69" i="3"/>
  <c r="O68" i="3"/>
  <c r="O67" i="3"/>
  <c r="O66" i="3"/>
  <c r="O65" i="3"/>
  <c r="O64" i="3"/>
  <c r="O63" i="3"/>
  <c r="O62" i="3"/>
  <c r="O61" i="3"/>
  <c r="O60" i="3"/>
  <c r="O59" i="3"/>
  <c r="O57" i="3"/>
  <c r="O56" i="3"/>
  <c r="O55" i="3"/>
  <c r="O54" i="3"/>
  <c r="O53" i="3"/>
  <c r="O52" i="3"/>
  <c r="O48" i="3"/>
  <c r="O47" i="3"/>
  <c r="O46" i="3"/>
  <c r="O45" i="3"/>
  <c r="O38" i="3"/>
  <c r="O37" i="3"/>
  <c r="O36" i="3"/>
  <c r="O32" i="3"/>
  <c r="O31" i="3"/>
  <c r="O28" i="3"/>
  <c r="O24" i="3"/>
  <c r="O22" i="3"/>
  <c r="O21" i="3"/>
  <c r="O20" i="3"/>
  <c r="O16" i="3"/>
  <c r="O13" i="3"/>
  <c r="O10" i="3"/>
  <c r="O9" i="3"/>
  <c r="H80" i="3" l="1"/>
  <c r="H69" i="3"/>
  <c r="C10" i="6"/>
  <c r="I157" i="3"/>
  <c r="I17" i="3"/>
  <c r="O17" i="3" s="1"/>
  <c r="Z13" i="3"/>
  <c r="Z14" i="3" s="1"/>
  <c r="Z38" i="3"/>
  <c r="Z39" i="3" s="1"/>
  <c r="Z24" i="3" l="1"/>
  <c r="Z22" i="3"/>
  <c r="Z21" i="3"/>
  <c r="Z33" i="3"/>
  <c r="Z34" i="3" s="1"/>
  <c r="Z23" i="3" l="1"/>
  <c r="Z25" i="3" s="1"/>
  <c r="Z138" i="3"/>
  <c r="Z118" i="3"/>
  <c r="Z120" i="3" s="1"/>
  <c r="Z123" i="3" s="1"/>
  <c r="Z96" i="3"/>
  <c r="Z81" i="3"/>
  <c r="Z69" i="3"/>
  <c r="Z61" i="3"/>
  <c r="Z60" i="3"/>
  <c r="Z74" i="3"/>
  <c r="Z148" i="3"/>
  <c r="Z145" i="3"/>
  <c r="Z144" i="3"/>
  <c r="Z141" i="3"/>
  <c r="Z134" i="3"/>
  <c r="Z128" i="3"/>
  <c r="Z127" i="3"/>
  <c r="Z126" i="3"/>
  <c r="Z111" i="3"/>
  <c r="Z109" i="3"/>
  <c r="Z108" i="3"/>
  <c r="Z107" i="3"/>
  <c r="Z106" i="3"/>
  <c r="Z105" i="3"/>
  <c r="Z101" i="3"/>
  <c r="Z100" i="3"/>
  <c r="Z93" i="3"/>
  <c r="Z92" i="3"/>
  <c r="Z91" i="3"/>
  <c r="Z90" i="3"/>
  <c r="Z84" i="3"/>
  <c r="Z83" i="3"/>
  <c r="Z82" i="3"/>
  <c r="Z80" i="3"/>
  <c r="Z79" i="3"/>
  <c r="Z77" i="3"/>
  <c r="Z76" i="3"/>
  <c r="Z75" i="3"/>
  <c r="Z73" i="3"/>
  <c r="Z72" i="3"/>
  <c r="Z71" i="3"/>
  <c r="Z70" i="3"/>
  <c r="Z67" i="3"/>
  <c r="Z66" i="3"/>
  <c r="Z65" i="3"/>
  <c r="Z64" i="3"/>
  <c r="Z63" i="3"/>
  <c r="Z62" i="3"/>
  <c r="Z55" i="3"/>
  <c r="Z54" i="3"/>
  <c r="Z53" i="3"/>
  <c r="Z52" i="3"/>
  <c r="Z47" i="3"/>
  <c r="Z46" i="3"/>
  <c r="Z45" i="3"/>
  <c r="Z110" i="3" l="1"/>
  <c r="Z113" i="3" s="1"/>
  <c r="Z49" i="3"/>
  <c r="Z50" i="3" s="1"/>
  <c r="Z102" i="3"/>
  <c r="Z85" i="3"/>
  <c r="Z86" i="3" s="1"/>
  <c r="Z95" i="3"/>
  <c r="Z98" i="3" s="1"/>
  <c r="Z149" i="3"/>
  <c r="Z152" i="3" s="1"/>
  <c r="Z154" i="3" s="1"/>
  <c r="Z115" i="3" l="1"/>
  <c r="Z156" i="3" s="1"/>
  <c r="I11" i="3"/>
  <c r="AA10" i="3"/>
  <c r="AA9" i="3"/>
  <c r="AA11" i="3" s="1"/>
  <c r="Z40" i="3" s="1"/>
  <c r="N102" i="3" l="1"/>
  <c r="M102" i="3"/>
  <c r="L102" i="3"/>
  <c r="H102" i="3"/>
  <c r="N9" i="5" s="1"/>
  <c r="O102" i="3" l="1"/>
  <c r="H145" i="3"/>
  <c r="H144" i="3"/>
  <c r="C13" i="6" l="1"/>
  <c r="H93" i="3"/>
  <c r="H92" i="3"/>
  <c r="H47" i="3"/>
  <c r="I164" i="3" l="1"/>
  <c r="I162" i="3"/>
  <c r="I161" i="3"/>
  <c r="I165" i="3" l="1"/>
  <c r="I166" i="3" s="1"/>
  <c r="H120" i="3"/>
  <c r="H123" i="3" s="1"/>
  <c r="N13" i="5" s="1"/>
  <c r="H108" i="3"/>
  <c r="H107" i="3"/>
  <c r="H95" i="3"/>
  <c r="H85" i="3"/>
  <c r="H55" i="3"/>
  <c r="H54" i="3"/>
  <c r="H49" i="3"/>
  <c r="H50" i="3" s="1"/>
  <c r="N6" i="5" s="1"/>
  <c r="H39" i="3"/>
  <c r="G10" i="5" s="1"/>
  <c r="H33" i="3"/>
  <c r="H34" i="3" s="1"/>
  <c r="G9" i="5" s="1"/>
  <c r="H23" i="3"/>
  <c r="H17" i="3"/>
  <c r="G7" i="5" s="1"/>
  <c r="H14" i="3"/>
  <c r="G6" i="5" s="1"/>
  <c r="H11" i="3"/>
  <c r="H43" i="7"/>
  <c r="H5" i="7" s="1"/>
  <c r="G43" i="7"/>
  <c r="G5" i="7" s="1"/>
  <c r="F43" i="7"/>
  <c r="E43" i="7"/>
  <c r="E5" i="7" s="1"/>
  <c r="D43" i="7"/>
  <c r="D5" i="7" s="1"/>
  <c r="C43" i="7"/>
  <c r="C5" i="7" s="1"/>
  <c r="C34" i="7"/>
  <c r="D34" i="7"/>
  <c r="H34" i="7"/>
  <c r="G34" i="7"/>
  <c r="F34" i="7"/>
  <c r="E34" i="7"/>
  <c r="N149" i="3"/>
  <c r="M149" i="3"/>
  <c r="M152" i="3" s="1"/>
  <c r="M154" i="3" s="1"/>
  <c r="N120" i="3"/>
  <c r="M120" i="3"/>
  <c r="M123" i="3" s="1"/>
  <c r="N110" i="3"/>
  <c r="M110" i="3"/>
  <c r="M113" i="3" s="1"/>
  <c r="N95" i="3"/>
  <c r="M95" i="3"/>
  <c r="M98" i="3" s="1"/>
  <c r="N85" i="3"/>
  <c r="M85" i="3"/>
  <c r="M86" i="3" s="1"/>
  <c r="N49" i="3"/>
  <c r="M49" i="3"/>
  <c r="M50" i="3" s="1"/>
  <c r="N39" i="3"/>
  <c r="M39" i="3"/>
  <c r="N33" i="3"/>
  <c r="M33" i="3"/>
  <c r="M34" i="3" s="1"/>
  <c r="N23" i="3"/>
  <c r="M23" i="3"/>
  <c r="M25" i="3" s="1"/>
  <c r="N14" i="3"/>
  <c r="M14" i="3"/>
  <c r="N11" i="3"/>
  <c r="M11" i="3"/>
  <c r="O11" i="3" l="1"/>
  <c r="O39" i="3"/>
  <c r="N25" i="3"/>
  <c r="O25" i="3" s="1"/>
  <c r="O23" i="3"/>
  <c r="N86" i="3"/>
  <c r="O86" i="3" s="1"/>
  <c r="O85" i="3"/>
  <c r="N152" i="3"/>
  <c r="O149" i="3"/>
  <c r="H25" i="3"/>
  <c r="H40" i="3" s="1"/>
  <c r="N50" i="3"/>
  <c r="O50" i="3" s="1"/>
  <c r="O49" i="3"/>
  <c r="N34" i="3"/>
  <c r="O34" i="3" s="1"/>
  <c r="O33" i="3"/>
  <c r="N98" i="3"/>
  <c r="O98" i="3" s="1"/>
  <c r="O95" i="3"/>
  <c r="N113" i="3"/>
  <c r="O113" i="3" s="1"/>
  <c r="O110" i="3"/>
  <c r="O14" i="3"/>
  <c r="N123" i="3"/>
  <c r="O123" i="3" s="1"/>
  <c r="O120" i="3"/>
  <c r="H98" i="3"/>
  <c r="N8" i="5" s="1"/>
  <c r="H161" i="3"/>
  <c r="D7" i="6" s="1"/>
  <c r="G5" i="5"/>
  <c r="H149" i="3"/>
  <c r="H86" i="3"/>
  <c r="H110" i="3"/>
  <c r="I43" i="7"/>
  <c r="F5" i="7"/>
  <c r="I5" i="7" s="1"/>
  <c r="M115" i="3"/>
  <c r="M156" i="3" s="1"/>
  <c r="M40" i="3"/>
  <c r="N115" i="3" l="1"/>
  <c r="G8" i="5"/>
  <c r="G11" i="5" s="1"/>
  <c r="N154" i="3"/>
  <c r="O154" i="3" s="1"/>
  <c r="O152" i="3"/>
  <c r="N40" i="3"/>
  <c r="O40" i="3" s="1"/>
  <c r="N7" i="5"/>
  <c r="H162" i="3"/>
  <c r="D8" i="6" s="1"/>
  <c r="M157" i="3"/>
  <c r="O115" i="3" l="1"/>
  <c r="N156" i="3"/>
  <c r="O156" i="3" s="1"/>
  <c r="B3" i="7"/>
  <c r="B4" i="7" s="1"/>
  <c r="B5" i="7" s="1"/>
  <c r="N157" i="3" l="1"/>
  <c r="O157" i="3" s="1"/>
  <c r="H4" i="7"/>
  <c r="G4" i="7"/>
  <c r="F4" i="7"/>
  <c r="E4" i="7"/>
  <c r="D4" i="7"/>
  <c r="C4" i="7"/>
  <c r="H25" i="7"/>
  <c r="H3" i="7" s="1"/>
  <c r="G25" i="7"/>
  <c r="G3" i="7" s="1"/>
  <c r="F25" i="7"/>
  <c r="F3" i="7" s="1"/>
  <c r="E25" i="7"/>
  <c r="E3" i="7" s="1"/>
  <c r="D25" i="7"/>
  <c r="D3" i="7" s="1"/>
  <c r="C25" i="7"/>
  <c r="C3" i="7" s="1"/>
  <c r="H10" i="7"/>
  <c r="G10" i="7"/>
  <c r="G2" i="7" s="1"/>
  <c r="H112" i="3" s="1"/>
  <c r="H113" i="3" s="1"/>
  <c r="F10" i="7"/>
  <c r="F2" i="7" s="1"/>
  <c r="E10" i="7"/>
  <c r="D10" i="7"/>
  <c r="C10" i="7"/>
  <c r="N10" i="5" l="1"/>
  <c r="N11" i="5" s="1"/>
  <c r="H115" i="3"/>
  <c r="E2" i="7"/>
  <c r="H133" i="3"/>
  <c r="H2" i="7"/>
  <c r="H139" i="3"/>
  <c r="D2" i="7"/>
  <c r="H135" i="3"/>
  <c r="C2" i="7"/>
  <c r="H151" i="3"/>
  <c r="I4" i="7"/>
  <c r="I25" i="7"/>
  <c r="I34" i="7"/>
  <c r="I3" i="7"/>
  <c r="I10" i="7"/>
  <c r="H164" i="3" l="1"/>
  <c r="D11" i="6" s="1"/>
  <c r="I2" i="7"/>
  <c r="H152" i="3"/>
  <c r="H154" i="3" s="1"/>
  <c r="H156" i="3" s="1"/>
  <c r="I7" i="6"/>
  <c r="N14" i="5" l="1"/>
  <c r="I11" i="6"/>
  <c r="H157" i="3" l="1"/>
  <c r="H166" i="3"/>
  <c r="D10" i="6" s="1"/>
  <c r="I10" i="6" s="1"/>
  <c r="N15" i="5"/>
  <c r="O9" i="5" l="1"/>
  <c r="N17" i="5"/>
  <c r="O13" i="5"/>
  <c r="O10" i="5"/>
  <c r="O7" i="5"/>
  <c r="O8" i="5"/>
  <c r="O11" i="5"/>
  <c r="O6" i="5"/>
  <c r="O15" i="5"/>
  <c r="O14" i="5"/>
  <c r="D5" i="6"/>
  <c r="D13" i="6" s="1"/>
  <c r="E5" i="6" l="1"/>
  <c r="E13" i="6" s="1"/>
  <c r="F5" i="6" l="1"/>
  <c r="F13" i="6" s="1"/>
  <c r="G5" i="6" l="1"/>
  <c r="G13" i="6" s="1"/>
  <c r="H5" i="6" l="1"/>
  <c r="H13" i="6" s="1"/>
</calcChain>
</file>

<file path=xl/sharedStrings.xml><?xml version="1.0" encoding="utf-8"?>
<sst xmlns="http://schemas.openxmlformats.org/spreadsheetml/2006/main" count="432" uniqueCount="256">
  <si>
    <t>31000 · General Property Taxes</t>
  </si>
  <si>
    <t>31010 · Current Property Taxes</t>
  </si>
  <si>
    <t>31020 · Delinquent Property Taxes</t>
  </si>
  <si>
    <t>Total 31000 · General Property Taxes</t>
  </si>
  <si>
    <t>31900 · Delinquent Taxes</t>
  </si>
  <si>
    <t>31920 · Tax Forfeiture Sales</t>
  </si>
  <si>
    <t>Total 31900 · Delinquent Taxes</t>
  </si>
  <si>
    <t>32000 · Licenses and Permits</t>
  </si>
  <si>
    <t>32110 · Alcoholic Beverages</t>
  </si>
  <si>
    <t>Total 32000 · Licenses and Permits</t>
  </si>
  <si>
    <t>33000 · Intergovernmental Revenues</t>
  </si>
  <si>
    <t>33400 · State Grants and Aids.</t>
  </si>
  <si>
    <t>33401 · Local Government Aid</t>
  </si>
  <si>
    <t>33418 · Refund of Gas Tax</t>
  </si>
  <si>
    <t>33428 · Payments in Lieu of Taxes</t>
  </si>
  <si>
    <t>Total 33400 · State Grants and Aids.</t>
  </si>
  <si>
    <t>Total 33000 · Intergovernmental Revenues</t>
  </si>
  <si>
    <t>34000 · Charges for Services</t>
  </si>
  <si>
    <t>34100 · General Government</t>
  </si>
  <si>
    <t>34102 · Recording Fees</t>
  </si>
  <si>
    <t>34103 · Zoning and Subdivision Fees</t>
  </si>
  <si>
    <t>34111 · Variance Application Fees</t>
  </si>
  <si>
    <t>Total 34100 · General Government</t>
  </si>
  <si>
    <t>Total 34000 · Charges for Services</t>
  </si>
  <si>
    <t>36200 · Miscellaneous Revenues</t>
  </si>
  <si>
    <t>36210 · Interest Earnings</t>
  </si>
  <si>
    <t>36230 · Donations from Private Sources</t>
  </si>
  <si>
    <t>36200 · Miscellaneous Revenues - Other</t>
  </si>
  <si>
    <t>Total 36200 · Miscellaneous Revenues</t>
  </si>
  <si>
    <t>Expense</t>
  </si>
  <si>
    <t>41000 · General Government</t>
  </si>
  <si>
    <t>41100 · Legislative</t>
  </si>
  <si>
    <t>41110 · Township Board</t>
  </si>
  <si>
    <t>103.1 · Part-Time Employee Wages</t>
  </si>
  <si>
    <t>119.1 · Personal Mileage Reimbursement</t>
  </si>
  <si>
    <t>122.1 · FICA Contributions</t>
  </si>
  <si>
    <t>142.1 · Unemployment Comp Benefits</t>
  </si>
  <si>
    <t>Total 41110 · Township Board</t>
  </si>
  <si>
    <t>Total 41100 · Legislative</t>
  </si>
  <si>
    <t>41400 · Township Clerk</t>
  </si>
  <si>
    <t>103.2 · Part-Time Employee Wages</t>
  </si>
  <si>
    <t>121.2 · PERA Contributions</t>
  </si>
  <si>
    <t>122.2 · FICA Contributions</t>
  </si>
  <si>
    <t>41410 · Elections</t>
  </si>
  <si>
    <t>41420 · Recording and Reporting</t>
  </si>
  <si>
    <t>41430 · Other Township Expenses</t>
  </si>
  <si>
    <t>133 · Life Insurance</t>
  </si>
  <si>
    <t>199 · Service / Late Fees</t>
  </si>
  <si>
    <t>201 · Accessories</t>
  </si>
  <si>
    <t>202 · Printing &amp; Copying</t>
  </si>
  <si>
    <t>203 · Paper Products</t>
  </si>
  <si>
    <t>207 · Training &amp; Materials</t>
  </si>
  <si>
    <t>208 · Food and Beverages</t>
  </si>
  <si>
    <t>240.1 · Equipment</t>
  </si>
  <si>
    <t>321 · Telephone</t>
  </si>
  <si>
    <t>322 · Postage</t>
  </si>
  <si>
    <t>325 · Internet</t>
  </si>
  <si>
    <t>331 · Travel</t>
  </si>
  <si>
    <t>340 · Advertising</t>
  </si>
  <si>
    <t>362 · Property Insurance</t>
  </si>
  <si>
    <t>381 · Electriity</t>
  </si>
  <si>
    <t>383 · Propane</t>
  </si>
  <si>
    <t>385 · Sewer / Septic</t>
  </si>
  <si>
    <t>401 · Building Repair</t>
  </si>
  <si>
    <t>405 · Cleaning Services</t>
  </si>
  <si>
    <t>433 · Dues and Subscriptions</t>
  </si>
  <si>
    <t>490 · Donations to Civic Organization</t>
  </si>
  <si>
    <t>570 · Office Equip and Furnishings</t>
  </si>
  <si>
    <t>41430 · Other Township Expenses - Other</t>
  </si>
  <si>
    <t>Total 41430 · Other Township Expenses</t>
  </si>
  <si>
    <t>Total 41400 · Township Clerk</t>
  </si>
  <si>
    <t>41500 · Financial Management</t>
  </si>
  <si>
    <t>301 · Auditing &amp; Accounting Services</t>
  </si>
  <si>
    <t>41510 · Township Treasurer</t>
  </si>
  <si>
    <t>103.3 · Part-Time Employee Wages</t>
  </si>
  <si>
    <t>122.3 · FICA Contributions</t>
  </si>
  <si>
    <t>Total 41510 · Township Treasurer</t>
  </si>
  <si>
    <t>41550 · Assessment Expenses</t>
  </si>
  <si>
    <t>Total 41500 · Financial Management</t>
  </si>
  <si>
    <t>41600 · Legal Services</t>
  </si>
  <si>
    <t>41900 · Other General Government</t>
  </si>
  <si>
    <t>41910 · Planning and Zoning</t>
  </si>
  <si>
    <t>103.4 · Part-Time Employee Wages</t>
  </si>
  <si>
    <t>122.4 · FICA Contributions</t>
  </si>
  <si>
    <t>41910 · Planning and Zoning - Other</t>
  </si>
  <si>
    <t>Total 41910 · Planning and Zoning</t>
  </si>
  <si>
    <t>41920 · Data Processing</t>
  </si>
  <si>
    <t>Total 41900 · Other General Government</t>
  </si>
  <si>
    <t>41000 · General Government - Other</t>
  </si>
  <si>
    <t>Total 41000 · General Government</t>
  </si>
  <si>
    <t>42000 · Public Safety</t>
  </si>
  <si>
    <t>42200 · Fire</t>
  </si>
  <si>
    <t>42220 · Fire Fighting</t>
  </si>
  <si>
    <t>42260 · Fire Repair Services</t>
  </si>
  <si>
    <t>Total 42200 · Fire</t>
  </si>
  <si>
    <t>42600 · Traffic Signs</t>
  </si>
  <si>
    <t>42700 · Animal Control</t>
  </si>
  <si>
    <t>Total 42000 · Public Safety</t>
  </si>
  <si>
    <t>43000 · Public Works</t>
  </si>
  <si>
    <t>43100 · Highways, Streets and Roadways</t>
  </si>
  <si>
    <t>212 · Motor Fuels</t>
  </si>
  <si>
    <t>213 · Lubricants and Additives</t>
  </si>
  <si>
    <t>215 · Shop Materials</t>
  </si>
  <si>
    <t>220 · Repair and Maintenance Supplies</t>
  </si>
  <si>
    <t>224 · Road Materials</t>
  </si>
  <si>
    <t>240.2 · Small Tools and Minor Equipment</t>
  </si>
  <si>
    <t>303 · Engineering and Surveying Fees</t>
  </si>
  <si>
    <t>334 · Vehicle Registration / Tabs</t>
  </si>
  <si>
    <t>363 · Automobile Insurance</t>
  </si>
  <si>
    <t>404 · Machinery and Equipment Repair</t>
  </si>
  <si>
    <t>416 · Machinery Rental</t>
  </si>
  <si>
    <t>43122 · Road Maintenance</t>
  </si>
  <si>
    <t>103.5 · Part-time Employee Wages</t>
  </si>
  <si>
    <t>121.5 · PERA Contributions</t>
  </si>
  <si>
    <t>122.5 · FICA Contributions</t>
  </si>
  <si>
    <t>131.5 · Health Insurance</t>
  </si>
  <si>
    <t>43122 · Road Maintenance - Other</t>
  </si>
  <si>
    <t>Total 43122 · Road Maintenance</t>
  </si>
  <si>
    <t>43126 · Road Equipment</t>
  </si>
  <si>
    <t>43100 · Highways, Streets and Roadways - Other</t>
  </si>
  <si>
    <t>Total 43100 · Highways, Streets and Roadways</t>
  </si>
  <si>
    <t>43200 · Sanitation</t>
  </si>
  <si>
    <t>Total 43000 · Public Works</t>
  </si>
  <si>
    <t>Total Expense</t>
  </si>
  <si>
    <t>119.2 · Personal Mileage Reimbursement</t>
  </si>
  <si>
    <t>151 · Worker's Comp Insurance</t>
  </si>
  <si>
    <t>41510 · Township Treasurer - Other</t>
  </si>
  <si>
    <t>41500 · Financial Management - Other</t>
  </si>
  <si>
    <t>119.4 · Personal Mileage Reimbursement</t>
  </si>
  <si>
    <t>121.4 · PERA Contributions</t>
  </si>
  <si>
    <t>41940 · Building Maintenance</t>
  </si>
  <si>
    <t>119.5 · Personal Mileage Reimbursement</t>
  </si>
  <si>
    <t>211 · Cleaning Supplies</t>
  </si>
  <si>
    <t>222 · Tires</t>
  </si>
  <si>
    <t>384 · Garbage Disposal</t>
  </si>
  <si>
    <t>121.3 · PERA Contributions</t>
  </si>
  <si>
    <t>Notes</t>
  </si>
  <si>
    <t>Chip Sealing</t>
  </si>
  <si>
    <t>Gravel and salt, culverts</t>
  </si>
  <si>
    <t>Gravel hauling</t>
  </si>
  <si>
    <t>Box culvert</t>
  </si>
  <si>
    <t>Actual</t>
  </si>
  <si>
    <t>2019</t>
  </si>
  <si>
    <t>SUMMARY</t>
  </si>
  <si>
    <t>Levy Revenue</t>
  </si>
  <si>
    <t>Other Revenue</t>
  </si>
  <si>
    <t>Operating Expenses</t>
  </si>
  <si>
    <t>Difference</t>
  </si>
  <si>
    <t>Revenue</t>
  </si>
  <si>
    <t>Total Revenue</t>
  </si>
  <si>
    <t>41400 · Clerk &amp; Operations</t>
  </si>
  <si>
    <t>41100 · Supervisory</t>
  </si>
  <si>
    <t>41500 · Treasurer &amp; Financial Mgmt</t>
  </si>
  <si>
    <t>41900 · Planning &amp; Zonging / Other</t>
  </si>
  <si>
    <t>42000 · Public Safety &amp; Fire</t>
  </si>
  <si>
    <t>43000 · Highways, Streets, Bridges</t>
  </si>
  <si>
    <t>Revenue/Expense</t>
  </si>
  <si>
    <t>Sturgeon Island Bridge</t>
  </si>
  <si>
    <t>2023</t>
  </si>
  <si>
    <t>5 year</t>
  </si>
  <si>
    <t>Gravel Crushing</t>
  </si>
  <si>
    <t>Budget</t>
  </si>
  <si>
    <t>2020</t>
  </si>
  <si>
    <t>2024</t>
  </si>
  <si>
    <t>Star Gazette and Evergreen duplicate ads</t>
  </si>
  <si>
    <t>Island Lake Rd (north end) culvert</t>
  </si>
  <si>
    <t>Equipment rental</t>
  </si>
  <si>
    <t>Windemere Township 5-Year Capital Expenses Projection</t>
  </si>
  <si>
    <t>Administrative Operating Expenses</t>
  </si>
  <si>
    <t>Road Operations Expenses</t>
  </si>
  <si>
    <t>2021</t>
  </si>
  <si>
    <t>2025</t>
  </si>
  <si>
    <t>Project</t>
  </si>
  <si>
    <t>Project Notes</t>
  </si>
  <si>
    <t>Road Construction</t>
  </si>
  <si>
    <t>Acct 43100</t>
  </si>
  <si>
    <t>Acct 303</t>
  </si>
  <si>
    <t>Road Materials</t>
  </si>
  <si>
    <t>Acct 224</t>
  </si>
  <si>
    <t>Capital Equipment</t>
  </si>
  <si>
    <t>Acct 43126</t>
  </si>
  <si>
    <t>Building Maintenance</t>
  </si>
  <si>
    <t>Acct 41940</t>
  </si>
  <si>
    <t>Machinery Rental</t>
  </si>
  <si>
    <t>Acct 416</t>
  </si>
  <si>
    <t>2022</t>
  </si>
  <si>
    <t>Unknown culvert projects</t>
  </si>
  <si>
    <t>Birchview</t>
  </si>
  <si>
    <t>TOTAL</t>
  </si>
  <si>
    <t>Capital Project Expenses</t>
  </si>
  <si>
    <t>Engineer / Survey</t>
  </si>
  <si>
    <t>113.5 - Apprenticeship Contriubtion</t>
  </si>
  <si>
    <t>Total Cash: End of Year</t>
  </si>
  <si>
    <t>Capital Improvements</t>
  </si>
  <si>
    <t>Sturgeon Island Rd (Seg 1)</t>
  </si>
  <si>
    <t>2026</t>
  </si>
  <si>
    <t>125.5 · Other (Union) Retirement</t>
  </si>
  <si>
    <t>103.6 · Contractors</t>
  </si>
  <si>
    <t>Projected</t>
  </si>
  <si>
    <t>Total Cash on Hand: Start of Year</t>
  </si>
  <si>
    <t>Windemere Township 5-Year Cash Flow Projection</t>
  </si>
  <si>
    <t>5 Yr Average</t>
  </si>
  <si>
    <t>Two employees - cell phone reimbursement</t>
  </si>
  <si>
    <t>R/O/W road platting</t>
  </si>
  <si>
    <t>309 · Website / IT Services</t>
  </si>
  <si>
    <t>Blight cleanup</t>
  </si>
  <si>
    <t>304.1 · General Township</t>
  </si>
  <si>
    <t>304.2 · Planning and Zoning</t>
  </si>
  <si>
    <t>2027</t>
  </si>
  <si>
    <t>33000 · Intergovernmental Revenues - Other</t>
  </si>
  <si>
    <t>119.3 · Personal Mileage Reimbursement</t>
  </si>
  <si>
    <t>$1,500 general. $0 for P&amp;Z postcards.</t>
  </si>
  <si>
    <t>$250 general postage. $0 for P&amp;Z special mailing.</t>
  </si>
  <si>
    <t>Paving Bridge to Hill St</t>
  </si>
  <si>
    <t>Road materials</t>
  </si>
  <si>
    <t>Grading/Plowing/Hauling/Ditching/Culverts/Misc</t>
  </si>
  <si>
    <t>QuickBooks payroll fees</t>
  </si>
  <si>
    <t>STVR / Blight legal fees</t>
  </si>
  <si>
    <t>Calcium chloride</t>
  </si>
  <si>
    <t>Road Coordinator: 600 hours @ $25 / hour; $5k severance payout</t>
  </si>
  <si>
    <t>Total 41600 · Legal Services</t>
  </si>
  <si>
    <r>
      <rPr>
        <sz val="11"/>
        <color rgb="FFFF0000"/>
        <rFont val="Calibri"/>
        <family val="2"/>
        <scheme val="minor"/>
      </rPr>
      <t>Capital Improvements</t>
    </r>
    <r>
      <rPr>
        <sz val="11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</si>
  <si>
    <t>$500 for normal road signs. $1,000 for P&amp;Z signs. $3,500 for inspection.</t>
  </si>
  <si>
    <t>Beaver/culvert work</t>
  </si>
  <si>
    <t>2024 Budget Summary</t>
  </si>
  <si>
    <t>Windemere Township 2024 Budget Estimating Worksheet</t>
  </si>
  <si>
    <t>Ordinary Income/Expense</t>
  </si>
  <si>
    <t>Income</t>
  </si>
  <si>
    <t>Total Income</t>
  </si>
  <si>
    <t>309 · Website &amp; IT Services</t>
  </si>
  <si>
    <t>381 · Electricity</t>
  </si>
  <si>
    <t>Net Ordinary Income</t>
  </si>
  <si>
    <t>310 · STVR Fees</t>
  </si>
  <si>
    <t>Total 34102 · Recording Fees</t>
  </si>
  <si>
    <t>Snow/Flood relief</t>
  </si>
  <si>
    <t>2023 Projected</t>
  </si>
  <si>
    <t>2028</t>
  </si>
  <si>
    <t>Zoom, website, e-mail</t>
  </si>
  <si>
    <t>Sturgeon Island Bridge service removed</t>
  </si>
  <si>
    <t>Bridge cover</t>
  </si>
  <si>
    <t>Ditch cleaning</t>
  </si>
  <si>
    <t>Grading</t>
  </si>
  <si>
    <t>R/O/W brush clearing</t>
  </si>
  <si>
    <t>General road repair</t>
  </si>
  <si>
    <t>Snowplowing</t>
  </si>
  <si>
    <t>Ditch mowing</t>
  </si>
  <si>
    <t>Windemere portion of the bridge</t>
  </si>
  <si>
    <t>120 permits total. Desire 60 in the first year @ $500 / each</t>
  </si>
  <si>
    <t>Dennis on duty until 5/18</t>
  </si>
  <si>
    <t>Item</t>
  </si>
  <si>
    <t>Estimate</t>
  </si>
  <si>
    <t>Miscellaneous</t>
  </si>
  <si>
    <t>STR Fees</t>
  </si>
  <si>
    <t>STR State Taxes</t>
  </si>
  <si>
    <r>
      <rPr>
        <sz val="11"/>
        <color rgb="FF0070C0"/>
        <rFont val="Calibri"/>
        <family val="2"/>
        <scheme val="minor"/>
      </rPr>
      <t>Contractors</t>
    </r>
    <r>
      <rPr>
        <sz val="11"/>
        <color theme="1"/>
        <rFont val="Calibri"/>
        <family val="2"/>
        <scheme val="minor"/>
      </rPr>
      <t xml:space="preserve"> - See CONTRACTORS tab</t>
    </r>
  </si>
  <si>
    <r>
      <t>Notes:
1-"Pro forma" models the anticipated results of the 5-year planned budget, with particular emphasis on the projected cash flows, net revenues and tax levies.
2-Models a contracted services operation
3-</t>
    </r>
    <r>
      <rPr>
        <b/>
        <sz val="12"/>
        <color rgb="FFFF0000"/>
        <rFont val="Calibri"/>
        <family val="2"/>
        <scheme val="minor"/>
      </rPr>
      <t>Capital Projects</t>
    </r>
    <r>
      <rPr>
        <b/>
        <sz val="12"/>
        <color theme="1"/>
        <rFont val="Calibri"/>
        <family val="2"/>
        <scheme val="minor"/>
      </rPr>
      <t xml:space="preserve"> = Road Materials (224), Engineering (303), Machinery Rental (416), Building Maintenance (41940), Construction (43100), Capital Equipment (43126)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</si>
</sst>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color rgb="FFFF0000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43" fontId="0" fillId="0" borderId="0" xfId="1" applyFont="1"/>
    <xf numFmtId="0" fontId="2" fillId="0" borderId="0" xfId="0" applyFont="1"/>
    <xf numFmtId="43" fontId="2" fillId="0" borderId="0" xfId="1" applyFont="1"/>
    <xf numFmtId="43" fontId="2" fillId="0" borderId="0" xfId="1" applyFont="1" applyAlignment="1">
      <alignment horizontal="center"/>
    </xf>
    <xf numFmtId="43" fontId="2" fillId="2" borderId="0" xfId="1" applyFont="1" applyFill="1" applyAlignment="1">
      <alignment horizontal="center"/>
    </xf>
    <xf numFmtId="43" fontId="0" fillId="2" borderId="0" xfId="1" applyFont="1" applyFill="1"/>
    <xf numFmtId="3" fontId="0" fillId="0" borderId="0" xfId="0" applyNumberFormat="1"/>
    <xf numFmtId="49" fontId="8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/>
    </xf>
    <xf numFmtId="49" fontId="10" fillId="3" borderId="0" xfId="0" applyNumberFormat="1" applyFont="1" applyFill="1" applyAlignment="1">
      <alignment horizontal="center"/>
    </xf>
    <xf numFmtId="0" fontId="4" fillId="0" borderId="0" xfId="0" applyFont="1" applyAlignment="1">
      <alignment horizontal="left"/>
    </xf>
    <xf numFmtId="3" fontId="8" fillId="0" borderId="0" xfId="0" applyNumberFormat="1" applyFont="1"/>
    <xf numFmtId="0" fontId="9" fillId="0" borderId="0" xfId="0" applyFont="1"/>
    <xf numFmtId="0" fontId="8" fillId="0" borderId="0" xfId="0" applyFont="1"/>
    <xf numFmtId="3" fontId="11" fillId="0" borderId="0" xfId="0" applyNumberFormat="1" applyFont="1"/>
    <xf numFmtId="49" fontId="9" fillId="0" borderId="0" xfId="0" applyNumberFormat="1" applyFont="1" applyAlignment="1">
      <alignment horizontal="left"/>
    </xf>
    <xf numFmtId="43" fontId="13" fillId="0" borderId="0" xfId="1" applyFont="1"/>
    <xf numFmtId="43" fontId="2" fillId="2" borderId="0" xfId="1" quotePrefix="1" applyFont="1" applyFill="1" applyAlignment="1">
      <alignment horizontal="center"/>
    </xf>
    <xf numFmtId="43" fontId="2" fillId="0" borderId="0" xfId="1" quotePrefix="1" applyFont="1" applyAlignment="1">
      <alignment horizontal="center"/>
    </xf>
    <xf numFmtId="0" fontId="6" fillId="0" borderId="0" xfId="0" applyFont="1"/>
    <xf numFmtId="43" fontId="7" fillId="0" borderId="0" xfId="1" applyFont="1"/>
    <xf numFmtId="10" fontId="0" fillId="0" borderId="0" xfId="3" applyNumberFormat="1" applyFont="1"/>
    <xf numFmtId="10" fontId="14" fillId="0" borderId="0" xfId="3" applyNumberFormat="1" applyFont="1"/>
    <xf numFmtId="0" fontId="7" fillId="0" borderId="0" xfId="0" applyFont="1"/>
    <xf numFmtId="0" fontId="2" fillId="0" borderId="0" xfId="0" applyFont="1" applyAlignment="1">
      <alignment horizontal="right"/>
    </xf>
    <xf numFmtId="43" fontId="0" fillId="0" borderId="0" xfId="1" applyFont="1" applyFill="1"/>
    <xf numFmtId="43" fontId="0" fillId="0" borderId="0" xfId="0" applyNumberFormat="1"/>
    <xf numFmtId="0" fontId="2" fillId="0" borderId="0" xfId="0" applyFont="1" applyAlignment="1">
      <alignment horizontal="left"/>
    </xf>
    <xf numFmtId="43" fontId="2" fillId="0" borderId="0" xfId="0" applyNumberFormat="1" applyFont="1" applyAlignment="1">
      <alignment textRotation="90"/>
    </xf>
    <xf numFmtId="0" fontId="2" fillId="0" borderId="0" xfId="0" quotePrefix="1" applyFont="1"/>
    <xf numFmtId="43" fontId="2" fillId="0" borderId="0" xfId="1" applyFont="1" applyFill="1" applyAlignment="1"/>
    <xf numFmtId="43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Fill="1"/>
    <xf numFmtId="43" fontId="2" fillId="0" borderId="0" xfId="1" quotePrefix="1" applyFont="1" applyFill="1" applyAlignment="1">
      <alignment horizontal="center"/>
    </xf>
    <xf numFmtId="43" fontId="2" fillId="0" borderId="0" xfId="1" applyFont="1" applyFill="1" applyAlignment="1">
      <alignment horizontal="center"/>
    </xf>
    <xf numFmtId="43" fontId="2" fillId="2" borderId="0" xfId="1" applyFont="1" applyFill="1"/>
    <xf numFmtId="3" fontId="8" fillId="4" borderId="0" xfId="0" applyNumberFormat="1" applyFont="1" applyFill="1"/>
    <xf numFmtId="164" fontId="0" fillId="0" borderId="0" xfId="3" applyNumberFormat="1" applyFont="1" applyFill="1"/>
    <xf numFmtId="43" fontId="1" fillId="0" borderId="0" xfId="1" applyFont="1"/>
    <xf numFmtId="43" fontId="1" fillId="2" borderId="0" xfId="1" applyFont="1" applyFill="1"/>
    <xf numFmtId="13" fontId="0" fillId="0" borderId="0" xfId="1" applyNumberFormat="1" applyFont="1"/>
    <xf numFmtId="43" fontId="15" fillId="2" borderId="0" xfId="1" applyFont="1" applyFill="1"/>
    <xf numFmtId="43" fontId="16" fillId="2" borderId="0" xfId="1" applyFont="1" applyFill="1"/>
    <xf numFmtId="0" fontId="4" fillId="0" borderId="0" xfId="0" applyFont="1"/>
    <xf numFmtId="43" fontId="4" fillId="0" borderId="0" xfId="1" applyFont="1"/>
    <xf numFmtId="0" fontId="17" fillId="0" borderId="0" xfId="0" applyFont="1"/>
    <xf numFmtId="43" fontId="17" fillId="0" borderId="0" xfId="1" applyFont="1"/>
    <xf numFmtId="43" fontId="18" fillId="2" borderId="0" xfId="1" applyFont="1" applyFill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8" fillId="0" borderId="0" xfId="0" applyNumberFormat="1" applyFont="1" applyAlignment="1">
      <alignment horizontal="right" vertical="center"/>
    </xf>
    <xf numFmtId="3" fontId="9" fillId="0" borderId="0" xfId="0" applyNumberFormat="1" applyFont="1" applyAlignment="1">
      <alignment horizontal="left" wrapText="1"/>
    </xf>
  </cellXfs>
  <cellStyles count="4">
    <cellStyle name="Comma" xfId="1" builtinId="3"/>
    <cellStyle name="Normal" xfId="0" builtinId="0"/>
    <cellStyle name="Normal 2" xfId="2" xr:uid="{00000000-0005-0000-0000-000003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534581</xdr:colOff>
      <xdr:row>40</xdr:row>
      <xdr:rowOff>96327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7EF8A5-29DD-ECC3-59DC-6641C72FE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459381" cy="77163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7"/>
  <sheetViews>
    <sheetView showGridLines="0" zoomScale="160" zoomScaleNormal="160" workbookViewId="0">
      <selection activeCell="A3" sqref="A3"/>
    </sheetView>
  </sheetViews>
  <sheetFormatPr defaultRowHeight="15" x14ac:dyDescent="0.25"/>
  <cols>
    <col min="1" max="5" width="2.7109375" customWidth="1"/>
    <col min="6" max="6" width="27.5703125" customWidth="1"/>
    <col min="7" max="7" width="13.85546875" bestFit="1" customWidth="1"/>
    <col min="8" max="12" width="2.7109375" customWidth="1"/>
    <col min="13" max="13" width="27.28515625" customWidth="1"/>
    <col min="14" max="14" width="14.140625" bestFit="1" customWidth="1"/>
  </cols>
  <sheetData>
    <row r="1" spans="1:15" ht="21" x14ac:dyDescent="0.35">
      <c r="A1" s="50" t="s">
        <v>224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5" x14ac:dyDescent="0.25">
      <c r="G2" s="1"/>
    </row>
    <row r="3" spans="1:15" x14ac:dyDescent="0.25">
      <c r="G3" s="19" t="s">
        <v>163</v>
      </c>
      <c r="N3" s="19" t="s">
        <v>163</v>
      </c>
    </row>
    <row r="4" spans="1:15" x14ac:dyDescent="0.25">
      <c r="B4" s="2" t="s">
        <v>148</v>
      </c>
      <c r="G4" s="4" t="s">
        <v>161</v>
      </c>
      <c r="I4" s="2" t="s">
        <v>29</v>
      </c>
      <c r="N4" s="4" t="s">
        <v>161</v>
      </c>
    </row>
    <row r="5" spans="1:15" x14ac:dyDescent="0.25">
      <c r="C5" t="s">
        <v>0</v>
      </c>
      <c r="G5" s="1">
        <f>+BUDGET!H11</f>
        <v>400000</v>
      </c>
      <c r="J5" t="s">
        <v>30</v>
      </c>
      <c r="N5" s="1"/>
    </row>
    <row r="6" spans="1:15" x14ac:dyDescent="0.25">
      <c r="C6" t="s">
        <v>4</v>
      </c>
      <c r="G6" s="1">
        <f>+BUDGET!H14</f>
        <v>10000</v>
      </c>
      <c r="K6" t="s">
        <v>151</v>
      </c>
      <c r="N6" s="1">
        <f>BUDGET!H50</f>
        <v>22233.39</v>
      </c>
      <c r="O6" s="22">
        <f t="shared" ref="O6:O11" si="0">N6/$N$15</f>
        <v>2.3704474770434029E-2</v>
      </c>
    </row>
    <row r="7" spans="1:15" x14ac:dyDescent="0.25">
      <c r="C7" t="s">
        <v>7</v>
      </c>
      <c r="G7" s="1">
        <f>+BUDGET!H17</f>
        <v>100</v>
      </c>
      <c r="K7" t="s">
        <v>150</v>
      </c>
      <c r="N7" s="1">
        <f>BUDGET!H86</f>
        <v>37451.94</v>
      </c>
      <c r="O7" s="22">
        <f t="shared" si="0"/>
        <v>3.9929968701750349E-2</v>
      </c>
    </row>
    <row r="8" spans="1:15" x14ac:dyDescent="0.25">
      <c r="C8" t="s">
        <v>10</v>
      </c>
      <c r="G8" s="1">
        <f>+BUDGET!H25</f>
        <v>372500</v>
      </c>
      <c r="K8" t="s">
        <v>152</v>
      </c>
      <c r="N8" s="1">
        <f>BUDGET!H98</f>
        <v>22110.799999999999</v>
      </c>
      <c r="O8" s="22">
        <f t="shared" si="0"/>
        <v>2.357377353404554E-2</v>
      </c>
    </row>
    <row r="9" spans="1:15" x14ac:dyDescent="0.25">
      <c r="C9" t="s">
        <v>17</v>
      </c>
      <c r="G9" s="1">
        <f>+BUDGET!H34</f>
        <v>42506</v>
      </c>
      <c r="K9" t="s">
        <v>79</v>
      </c>
      <c r="N9" s="1">
        <f>BUDGET!H102</f>
        <v>20000</v>
      </c>
      <c r="O9" s="22">
        <f t="shared" si="0"/>
        <v>2.1323311263315249E-2</v>
      </c>
    </row>
    <row r="10" spans="1:15" ht="17.25" x14ac:dyDescent="0.4">
      <c r="C10" t="s">
        <v>24</v>
      </c>
      <c r="G10" s="1">
        <f>+BUDGET!H39</f>
        <v>25500</v>
      </c>
      <c r="K10" t="s">
        <v>153</v>
      </c>
      <c r="N10" s="17">
        <f>BUDGET!H113</f>
        <v>239742</v>
      </c>
      <c r="O10" s="23">
        <f t="shared" si="0"/>
        <v>0.25560466444448621</v>
      </c>
    </row>
    <row r="11" spans="1:15" x14ac:dyDescent="0.25">
      <c r="B11" s="2" t="s">
        <v>149</v>
      </c>
      <c r="G11" s="3">
        <f>SUM(G5:G10)</f>
        <v>850606</v>
      </c>
      <c r="J11" t="s">
        <v>89</v>
      </c>
      <c r="N11" s="1">
        <f>SUM(N6:N10)</f>
        <v>341538.13</v>
      </c>
      <c r="O11" s="22">
        <f t="shared" si="0"/>
        <v>0.36413619271403136</v>
      </c>
    </row>
    <row r="12" spans="1:15" x14ac:dyDescent="0.25">
      <c r="B12" s="2"/>
      <c r="G12" s="3"/>
      <c r="N12" s="1"/>
      <c r="O12" s="22"/>
    </row>
    <row r="13" spans="1:15" x14ac:dyDescent="0.25">
      <c r="J13" t="s">
        <v>154</v>
      </c>
      <c r="N13" s="1">
        <f>BUDGET!H123</f>
        <v>94650</v>
      </c>
      <c r="O13" s="22">
        <f>N13/$N$15</f>
        <v>0.10091257055363942</v>
      </c>
    </row>
    <row r="14" spans="1:15" ht="17.25" x14ac:dyDescent="0.4">
      <c r="J14" t="s">
        <v>155</v>
      </c>
      <c r="N14" s="17">
        <f>BUDGET!H154</f>
        <v>501752.5</v>
      </c>
      <c r="O14" s="22">
        <f>N14/$N$15</f>
        <v>0.53495123673232925</v>
      </c>
    </row>
    <row r="15" spans="1:15" x14ac:dyDescent="0.25">
      <c r="I15" s="2" t="s">
        <v>123</v>
      </c>
      <c r="N15" s="3">
        <f>N11+N13+N14</f>
        <v>937940.63</v>
      </c>
      <c r="O15" s="22">
        <f>N15/$N$15</f>
        <v>1</v>
      </c>
    </row>
    <row r="16" spans="1:15" x14ac:dyDescent="0.25">
      <c r="I16" s="2"/>
      <c r="N16" s="1"/>
    </row>
    <row r="17" spans="9:14" x14ac:dyDescent="0.25">
      <c r="I17" s="2" t="s">
        <v>147</v>
      </c>
      <c r="N17" s="3">
        <f>G11-N15</f>
        <v>-87334.63</v>
      </c>
    </row>
  </sheetData>
  <mergeCells count="1">
    <mergeCell ref="A1:N1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69"/>
  <sheetViews>
    <sheetView tabSelected="1" zoomScale="160" zoomScaleNormal="160" workbookViewId="0">
      <pane ySplit="5" topLeftCell="A6" activePane="bottomLeft" state="frozen"/>
      <selection pane="bottomLeft" activeCell="A6" sqref="A6"/>
    </sheetView>
  </sheetViews>
  <sheetFormatPr defaultRowHeight="15" x14ac:dyDescent="0.25"/>
  <cols>
    <col min="1" max="6" width="2.7109375" customWidth="1"/>
    <col min="7" max="7" width="39.7109375" customWidth="1"/>
    <col min="8" max="8" width="13.140625" customWidth="1"/>
    <col min="9" max="9" width="13.85546875" style="1" bestFit="1" customWidth="1"/>
    <col min="10" max="11" width="13.28515625" style="1" customWidth="1"/>
    <col min="12" max="13" width="13.28515625" customWidth="1"/>
    <col min="14" max="14" width="13.7109375" customWidth="1"/>
    <col min="15" max="15" width="13.85546875" style="1" bestFit="1" customWidth="1"/>
    <col min="16" max="16" width="68.7109375" style="1" customWidth="1"/>
    <col min="18" max="21" width="2.7109375" customWidth="1"/>
    <col min="22" max="22" width="2.5703125" customWidth="1"/>
    <col min="23" max="23" width="41.42578125" customWidth="1"/>
    <col min="24" max="24" width="12.85546875" style="1" bestFit="1" customWidth="1"/>
    <col min="25" max="25" width="12.28515625" style="1" bestFit="1" customWidth="1"/>
    <col min="26" max="26" width="13.85546875" bestFit="1" customWidth="1"/>
    <col min="27" max="27" width="12.28515625" bestFit="1" customWidth="1"/>
  </cols>
  <sheetData>
    <row r="1" spans="1:27" ht="21" x14ac:dyDescent="0.35">
      <c r="A1" s="50" t="s">
        <v>225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</row>
    <row r="2" spans="1:27" x14ac:dyDescent="0.25">
      <c r="N2" s="26"/>
    </row>
    <row r="3" spans="1:27" x14ac:dyDescent="0.25">
      <c r="H3" s="18" t="s">
        <v>163</v>
      </c>
      <c r="I3" s="35" t="s">
        <v>158</v>
      </c>
      <c r="J3" s="35" t="s">
        <v>158</v>
      </c>
      <c r="K3" s="35" t="s">
        <v>185</v>
      </c>
      <c r="L3" s="35" t="s">
        <v>170</v>
      </c>
      <c r="M3" s="35" t="s">
        <v>162</v>
      </c>
      <c r="N3" s="4" t="s">
        <v>142</v>
      </c>
      <c r="O3" s="4"/>
    </row>
    <row r="4" spans="1:27" x14ac:dyDescent="0.25">
      <c r="H4" s="5" t="s">
        <v>161</v>
      </c>
      <c r="I4" s="4" t="s">
        <v>198</v>
      </c>
      <c r="J4" s="36" t="s">
        <v>161</v>
      </c>
      <c r="K4" s="36" t="s">
        <v>141</v>
      </c>
      <c r="L4" s="36" t="s">
        <v>141</v>
      </c>
      <c r="M4" s="4" t="s">
        <v>141</v>
      </c>
      <c r="N4" s="4" t="s">
        <v>141</v>
      </c>
      <c r="O4" s="4" t="s">
        <v>201</v>
      </c>
      <c r="P4" s="3" t="s">
        <v>136</v>
      </c>
    </row>
    <row r="5" spans="1:27" x14ac:dyDescent="0.25">
      <c r="H5" s="5"/>
      <c r="I5" s="4"/>
      <c r="J5" s="4"/>
      <c r="K5" s="4"/>
      <c r="L5" s="4"/>
      <c r="M5" s="4"/>
      <c r="N5" s="4"/>
      <c r="O5" s="4"/>
      <c r="P5" s="3"/>
    </row>
    <row r="6" spans="1:27" x14ac:dyDescent="0.25">
      <c r="B6" s="2" t="s">
        <v>156</v>
      </c>
      <c r="H6" s="6"/>
      <c r="L6" s="1"/>
      <c r="M6" s="1"/>
      <c r="N6" s="1"/>
      <c r="R6" t="s">
        <v>226</v>
      </c>
    </row>
    <row r="7" spans="1:27" x14ac:dyDescent="0.25">
      <c r="C7" t="s">
        <v>148</v>
      </c>
      <c r="H7" s="6"/>
      <c r="L7" s="1"/>
      <c r="M7" s="1"/>
      <c r="N7" s="1"/>
      <c r="S7" t="s">
        <v>227</v>
      </c>
    </row>
    <row r="8" spans="1:27" x14ac:dyDescent="0.25">
      <c r="D8" t="s">
        <v>0</v>
      </c>
      <c r="H8" s="6"/>
      <c r="L8" s="1"/>
      <c r="M8" s="1"/>
      <c r="N8" s="1"/>
      <c r="T8" t="s">
        <v>0</v>
      </c>
    </row>
    <row r="9" spans="1:27" x14ac:dyDescent="0.25">
      <c r="E9" t="s">
        <v>1</v>
      </c>
      <c r="H9" s="6">
        <v>388000</v>
      </c>
      <c r="I9" s="1">
        <v>386661.57999999996</v>
      </c>
      <c r="J9" s="1">
        <v>390000</v>
      </c>
      <c r="K9" s="1">
        <v>389419.98</v>
      </c>
      <c r="L9" s="1">
        <v>390566.51</v>
      </c>
      <c r="M9" s="1">
        <v>389271.43</v>
      </c>
      <c r="N9" s="1">
        <v>387851.79</v>
      </c>
      <c r="O9" s="1">
        <f>(+N9+M9+L9+K9+I9)/5</f>
        <v>388754.25800000003</v>
      </c>
      <c r="U9" t="s">
        <v>1</v>
      </c>
      <c r="X9" s="1">
        <v>228661.58</v>
      </c>
      <c r="Y9" s="1">
        <v>390000</v>
      </c>
      <c r="Z9">
        <v>158000</v>
      </c>
      <c r="AA9" s="27">
        <f>+X9+Z9</f>
        <v>386661.57999999996</v>
      </c>
    </row>
    <row r="10" spans="1:27" x14ac:dyDescent="0.25">
      <c r="E10" t="s">
        <v>2</v>
      </c>
      <c r="H10" s="6">
        <v>12000</v>
      </c>
      <c r="I10" s="1">
        <v>12131.95</v>
      </c>
      <c r="J10" s="1">
        <v>15000</v>
      </c>
      <c r="K10" s="1">
        <v>11232.72</v>
      </c>
      <c r="L10" s="1">
        <v>17427.45</v>
      </c>
      <c r="M10" s="1">
        <v>57479.46</v>
      </c>
      <c r="N10" s="1">
        <v>22158.31</v>
      </c>
      <c r="O10" s="1">
        <f>(+N10+M10+L10+K10+I10)/5</f>
        <v>24085.977999999999</v>
      </c>
      <c r="U10" t="s">
        <v>2</v>
      </c>
      <c r="X10" s="1">
        <v>10131.950000000001</v>
      </c>
      <c r="Y10" s="1">
        <v>15000</v>
      </c>
      <c r="Z10">
        <v>2000</v>
      </c>
      <c r="AA10" s="27">
        <f>+X10+Z10</f>
        <v>12131.95</v>
      </c>
    </row>
    <row r="11" spans="1:27" x14ac:dyDescent="0.25">
      <c r="D11" t="s">
        <v>3</v>
      </c>
      <c r="H11" s="6">
        <f>SUM(H9:H10)</f>
        <v>400000</v>
      </c>
      <c r="I11" s="1">
        <f>+I9+I10</f>
        <v>398793.52999999997</v>
      </c>
      <c r="J11" s="1">
        <v>405000</v>
      </c>
      <c r="K11" s="1">
        <v>400652.7</v>
      </c>
      <c r="L11" s="1">
        <v>407993.96</v>
      </c>
      <c r="M11" s="1">
        <f>SUM(M9:M10)</f>
        <v>446750.89</v>
      </c>
      <c r="N11" s="1">
        <f>SUM(N9:N10)</f>
        <v>410010.1</v>
      </c>
      <c r="O11" s="1">
        <f>(+N11+M11+L11+K11+I11)/5</f>
        <v>412840.23599999998</v>
      </c>
      <c r="T11" t="s">
        <v>3</v>
      </c>
      <c r="X11" s="1">
        <v>238793.53</v>
      </c>
      <c r="Y11" s="1">
        <v>405000</v>
      </c>
      <c r="AA11" s="27">
        <f>SUM(AA9:AA10)</f>
        <v>398793.52999999997</v>
      </c>
    </row>
    <row r="12" spans="1:27" x14ac:dyDescent="0.25">
      <c r="D12" t="s">
        <v>4</v>
      </c>
      <c r="H12" s="6"/>
      <c r="L12" s="1"/>
      <c r="M12" s="1"/>
      <c r="N12" s="1"/>
      <c r="T12" t="s">
        <v>4</v>
      </c>
    </row>
    <row r="13" spans="1:27" x14ac:dyDescent="0.25">
      <c r="E13" t="s">
        <v>5</v>
      </c>
      <c r="H13" s="6">
        <v>10000</v>
      </c>
      <c r="I13" s="1">
        <v>10731.58</v>
      </c>
      <c r="J13" s="1">
        <v>10000</v>
      </c>
      <c r="K13" s="1">
        <v>25279.26</v>
      </c>
      <c r="L13" s="1">
        <v>20165.03</v>
      </c>
      <c r="M13" s="1">
        <v>5267.57</v>
      </c>
      <c r="N13" s="1">
        <v>2116.64</v>
      </c>
      <c r="O13" s="1">
        <f>(+N13+M13+L13+K13+I13)/5</f>
        <v>12712.016</v>
      </c>
      <c r="U13" t="s">
        <v>5</v>
      </c>
      <c r="X13" s="1">
        <v>10731.58</v>
      </c>
      <c r="Y13" s="1">
        <v>10000</v>
      </c>
      <c r="Z13" s="27">
        <f>+X13</f>
        <v>10731.58</v>
      </c>
    </row>
    <row r="14" spans="1:27" x14ac:dyDescent="0.25">
      <c r="D14" t="s">
        <v>6</v>
      </c>
      <c r="H14" s="6">
        <f>H13</f>
        <v>10000</v>
      </c>
      <c r="I14" s="1">
        <v>10731.58</v>
      </c>
      <c r="J14" s="1">
        <v>10000</v>
      </c>
      <c r="K14" s="1">
        <v>25279.26</v>
      </c>
      <c r="L14" s="1">
        <v>20165.03</v>
      </c>
      <c r="M14" s="1">
        <f>M13</f>
        <v>5267.57</v>
      </c>
      <c r="N14" s="1">
        <f>N13</f>
        <v>2116.64</v>
      </c>
      <c r="O14" s="1">
        <f>(+N14+M14+L14+K14+I14)/5</f>
        <v>12712.016</v>
      </c>
      <c r="T14" t="s">
        <v>6</v>
      </c>
      <c r="X14" s="1">
        <v>10731.58</v>
      </c>
      <c r="Y14" s="1">
        <v>10000</v>
      </c>
      <c r="Z14" s="27">
        <f>+Z13</f>
        <v>10731.58</v>
      </c>
    </row>
    <row r="15" spans="1:27" x14ac:dyDescent="0.25">
      <c r="D15" t="s">
        <v>7</v>
      </c>
      <c r="H15" s="6"/>
      <c r="L15" s="1"/>
      <c r="M15" s="1"/>
      <c r="N15" s="1"/>
    </row>
    <row r="16" spans="1:27" x14ac:dyDescent="0.25">
      <c r="E16" t="s">
        <v>8</v>
      </c>
      <c r="H16" s="6">
        <v>100</v>
      </c>
      <c r="I16" s="1">
        <v>100</v>
      </c>
      <c r="J16" s="1">
        <v>0</v>
      </c>
      <c r="K16" s="1">
        <v>150</v>
      </c>
      <c r="L16" s="1">
        <v>0</v>
      </c>
      <c r="M16" s="1"/>
      <c r="N16" s="1"/>
      <c r="O16" s="1">
        <f>(+N16+M16+L16+K16+I16)/5</f>
        <v>50</v>
      </c>
    </row>
    <row r="17" spans="4:26" x14ac:dyDescent="0.25">
      <c r="D17" t="s">
        <v>9</v>
      </c>
      <c r="H17" s="6">
        <f>H16</f>
        <v>100</v>
      </c>
      <c r="I17" s="1">
        <f>+I16</f>
        <v>100</v>
      </c>
      <c r="J17" s="1">
        <v>0</v>
      </c>
      <c r="K17" s="1">
        <v>150</v>
      </c>
      <c r="L17" s="1">
        <v>0</v>
      </c>
      <c r="M17" s="1"/>
      <c r="N17" s="1"/>
      <c r="O17" s="1">
        <f>(+N17+M17+L17+K17+I17)/5</f>
        <v>50</v>
      </c>
    </row>
    <row r="18" spans="4:26" x14ac:dyDescent="0.25">
      <c r="D18" t="s">
        <v>10</v>
      </c>
      <c r="H18" s="6"/>
      <c r="L18" s="1"/>
      <c r="M18" s="1"/>
      <c r="N18" s="1"/>
      <c r="T18" t="s">
        <v>10</v>
      </c>
    </row>
    <row r="19" spans="4:26" x14ac:dyDescent="0.25">
      <c r="E19" t="s">
        <v>11</v>
      </c>
      <c r="H19" s="6"/>
      <c r="L19" s="1"/>
      <c r="M19" s="1"/>
      <c r="N19" s="1"/>
      <c r="U19" t="s">
        <v>11</v>
      </c>
    </row>
    <row r="20" spans="4:26" x14ac:dyDescent="0.25">
      <c r="F20" t="s">
        <v>12</v>
      </c>
      <c r="H20" s="6">
        <v>5500</v>
      </c>
      <c r="I20" s="1">
        <v>5500</v>
      </c>
      <c r="J20" s="1">
        <v>6000</v>
      </c>
      <c r="K20" s="1">
        <v>102846.12</v>
      </c>
      <c r="L20" s="1">
        <v>103616.16</v>
      </c>
      <c r="M20" s="1">
        <v>21831.9</v>
      </c>
      <c r="N20" s="1">
        <v>6419.37</v>
      </c>
      <c r="O20" s="1">
        <f t="shared" ref="O20:O25" si="0">(+N20+M20+L20+K20+I20)/5</f>
        <v>48042.71</v>
      </c>
      <c r="V20" t="s">
        <v>12</v>
      </c>
      <c r="X20" s="1">
        <v>2431</v>
      </c>
      <c r="Y20" s="1">
        <v>6000</v>
      </c>
      <c r="Z20">
        <v>5500</v>
      </c>
    </row>
    <row r="21" spans="4:26" x14ac:dyDescent="0.25">
      <c r="F21" t="s">
        <v>13</v>
      </c>
      <c r="H21" s="6">
        <v>42000</v>
      </c>
      <c r="I21" s="1">
        <v>40524.160000000003</v>
      </c>
      <c r="J21" s="1">
        <v>45000</v>
      </c>
      <c r="K21" s="1">
        <v>56303.75</v>
      </c>
      <c r="L21" s="1">
        <v>38288.160000000003</v>
      </c>
      <c r="M21" s="1">
        <v>41385.919999999998</v>
      </c>
      <c r="N21" s="1">
        <v>39675.03</v>
      </c>
      <c r="O21" s="1">
        <f t="shared" si="0"/>
        <v>43235.403999999995</v>
      </c>
      <c r="V21" t="s">
        <v>13</v>
      </c>
      <c r="X21" s="1">
        <v>40524.160000000003</v>
      </c>
      <c r="Y21" s="1">
        <v>45000</v>
      </c>
      <c r="Z21" s="27">
        <f>+X21</f>
        <v>40524.160000000003</v>
      </c>
    </row>
    <row r="22" spans="4:26" x14ac:dyDescent="0.25">
      <c r="F22" t="s">
        <v>14</v>
      </c>
      <c r="H22" s="6">
        <v>2000</v>
      </c>
      <c r="I22" s="1">
        <v>2046.18</v>
      </c>
      <c r="J22" s="1">
        <v>1800</v>
      </c>
      <c r="K22" s="1">
        <v>1833.81</v>
      </c>
      <c r="L22" s="1">
        <v>1834.15</v>
      </c>
      <c r="M22" s="1">
        <v>1813.73</v>
      </c>
      <c r="N22" s="1">
        <v>1835.67</v>
      </c>
      <c r="O22" s="1">
        <f t="shared" si="0"/>
        <v>1872.7080000000001</v>
      </c>
      <c r="V22" t="s">
        <v>14</v>
      </c>
      <c r="X22" s="1">
        <v>2046.18</v>
      </c>
      <c r="Y22" s="1">
        <v>1800</v>
      </c>
      <c r="Z22" s="27">
        <f>+X22</f>
        <v>2046.18</v>
      </c>
    </row>
    <row r="23" spans="4:26" x14ac:dyDescent="0.25">
      <c r="E23" t="s">
        <v>15</v>
      </c>
      <c r="H23" s="6">
        <f>SUM(H20:H22)</f>
        <v>49500</v>
      </c>
      <c r="I23" s="1">
        <v>48070.340000000004</v>
      </c>
      <c r="J23" s="1">
        <v>52800</v>
      </c>
      <c r="K23" s="1">
        <v>160983.67999999999</v>
      </c>
      <c r="L23" s="1">
        <v>143738.47</v>
      </c>
      <c r="M23" s="1">
        <f>SUM(M20:M22)</f>
        <v>65031.55</v>
      </c>
      <c r="N23" s="1">
        <f>SUM(N20:N22)</f>
        <v>47930.07</v>
      </c>
      <c r="O23" s="1">
        <f t="shared" si="0"/>
        <v>93150.822000000015</v>
      </c>
      <c r="U23" t="s">
        <v>15</v>
      </c>
      <c r="X23" s="1">
        <v>45001.34</v>
      </c>
      <c r="Y23" s="1">
        <v>52800</v>
      </c>
      <c r="Z23">
        <f>SUM(Z20:Z22)</f>
        <v>48070.340000000004</v>
      </c>
    </row>
    <row r="24" spans="4:26" x14ac:dyDescent="0.25">
      <c r="E24" t="s">
        <v>209</v>
      </c>
      <c r="H24" s="6">
        <v>323000</v>
      </c>
      <c r="I24" s="1">
        <v>24808</v>
      </c>
      <c r="J24" s="1">
        <v>0</v>
      </c>
      <c r="K24" s="1">
        <v>6030</v>
      </c>
      <c r="L24" s="1"/>
      <c r="M24" s="1"/>
      <c r="N24" s="1"/>
      <c r="O24" s="1">
        <f t="shared" si="0"/>
        <v>6167.6</v>
      </c>
      <c r="P24" s="1" t="s">
        <v>234</v>
      </c>
      <c r="U24" t="s">
        <v>209</v>
      </c>
      <c r="X24" s="1">
        <v>24808</v>
      </c>
      <c r="Z24" s="27">
        <f>+X24</f>
        <v>24808</v>
      </c>
    </row>
    <row r="25" spans="4:26" x14ac:dyDescent="0.25">
      <c r="D25" t="s">
        <v>16</v>
      </c>
      <c r="H25" s="6">
        <f>H23+H24</f>
        <v>372500</v>
      </c>
      <c r="I25" s="1">
        <v>72878.34</v>
      </c>
      <c r="J25" s="1">
        <v>52800</v>
      </c>
      <c r="K25" s="1">
        <v>167013.68</v>
      </c>
      <c r="L25" s="1">
        <v>143738.47</v>
      </c>
      <c r="M25" s="1">
        <f>M23</f>
        <v>65031.55</v>
      </c>
      <c r="N25" s="1">
        <f>N23</f>
        <v>47930.07</v>
      </c>
      <c r="O25" s="1">
        <f t="shared" si="0"/>
        <v>99318.421999999991</v>
      </c>
      <c r="T25" t="s">
        <v>16</v>
      </c>
      <c r="X25" s="1">
        <v>69809.34</v>
      </c>
      <c r="Y25" s="1">
        <v>52800</v>
      </c>
      <c r="Z25" s="27">
        <f>+Z24+Z23</f>
        <v>72878.34</v>
      </c>
    </row>
    <row r="26" spans="4:26" x14ac:dyDescent="0.25">
      <c r="D26" t="s">
        <v>17</v>
      </c>
      <c r="H26" s="6"/>
      <c r="L26" s="1"/>
      <c r="M26" s="1"/>
      <c r="N26" s="1"/>
      <c r="T26" t="s">
        <v>17</v>
      </c>
    </row>
    <row r="27" spans="4:26" x14ac:dyDescent="0.25">
      <c r="E27" t="s">
        <v>18</v>
      </c>
      <c r="H27" s="6"/>
      <c r="L27" s="1"/>
      <c r="M27" s="1"/>
      <c r="N27" s="1"/>
      <c r="U27" t="s">
        <v>18</v>
      </c>
    </row>
    <row r="28" spans="4:26" x14ac:dyDescent="0.25">
      <c r="F28" t="s">
        <v>19</v>
      </c>
      <c r="H28" s="6">
        <v>6</v>
      </c>
      <c r="I28" s="1">
        <v>0</v>
      </c>
      <c r="J28" s="1">
        <v>0</v>
      </c>
      <c r="L28" s="1">
        <v>0</v>
      </c>
      <c r="M28" s="1">
        <v>8</v>
      </c>
      <c r="N28" s="1">
        <v>4</v>
      </c>
      <c r="O28" s="1">
        <f>(+N28+M28+L28+K28+I28)/5</f>
        <v>2.4</v>
      </c>
      <c r="V28" t="s">
        <v>19</v>
      </c>
    </row>
    <row r="29" spans="4:26" x14ac:dyDescent="0.25">
      <c r="G29" t="s">
        <v>252</v>
      </c>
      <c r="H29" s="6">
        <f>500*60</f>
        <v>30000</v>
      </c>
      <c r="I29" s="1">
        <v>0</v>
      </c>
      <c r="J29" s="1">
        <v>75000</v>
      </c>
      <c r="L29" s="1"/>
      <c r="M29" s="1"/>
      <c r="N29" s="1"/>
      <c r="P29" s="1" t="s">
        <v>247</v>
      </c>
      <c r="W29" t="s">
        <v>232</v>
      </c>
      <c r="X29" s="1">
        <v>0</v>
      </c>
      <c r="Y29" s="1">
        <v>75000</v>
      </c>
    </row>
    <row r="30" spans="4:26" x14ac:dyDescent="0.25">
      <c r="G30" t="s">
        <v>253</v>
      </c>
      <c r="H30" s="6">
        <v>0</v>
      </c>
      <c r="J30" s="1">
        <v>0</v>
      </c>
      <c r="L30" s="1"/>
      <c r="M30" s="1"/>
      <c r="N30" s="1"/>
      <c r="V30" t="s">
        <v>233</v>
      </c>
      <c r="X30" s="1">
        <v>0</v>
      </c>
      <c r="Y30" s="1">
        <v>75000</v>
      </c>
    </row>
    <row r="31" spans="4:26" x14ac:dyDescent="0.25">
      <c r="F31" t="s">
        <v>20</v>
      </c>
      <c r="H31" s="6">
        <v>10000</v>
      </c>
      <c r="I31" s="1">
        <v>7000</v>
      </c>
      <c r="J31" s="1">
        <v>9000</v>
      </c>
      <c r="K31" s="1">
        <v>6737.4</v>
      </c>
      <c r="L31" s="1">
        <v>22606.799999999999</v>
      </c>
      <c r="M31" s="1">
        <v>7799</v>
      </c>
      <c r="N31" s="1">
        <v>7860.9</v>
      </c>
      <c r="O31" s="1">
        <f>(+N31+M31+L31+K31+I31)/5</f>
        <v>10400.82</v>
      </c>
      <c r="V31" t="s">
        <v>20</v>
      </c>
      <c r="X31" s="1">
        <v>4917.6000000000004</v>
      </c>
      <c r="Y31" s="1">
        <v>9000</v>
      </c>
      <c r="Z31">
        <v>7000</v>
      </c>
    </row>
    <row r="32" spans="4:26" x14ac:dyDescent="0.25">
      <c r="F32" t="s">
        <v>21</v>
      </c>
      <c r="H32" s="6">
        <v>2500</v>
      </c>
      <c r="I32" s="1">
        <v>2000</v>
      </c>
      <c r="J32" s="1">
        <v>1000</v>
      </c>
      <c r="K32" s="1">
        <v>1500</v>
      </c>
      <c r="L32" s="1">
        <v>0</v>
      </c>
      <c r="M32" s="1">
        <v>0</v>
      </c>
      <c r="N32" s="1">
        <v>1500</v>
      </c>
      <c r="O32" s="1">
        <f>(+N32+M32+L32+K32+I32)/5</f>
        <v>1000</v>
      </c>
      <c r="V32" t="s">
        <v>21</v>
      </c>
      <c r="X32" s="1">
        <v>1000</v>
      </c>
      <c r="Y32" s="1">
        <v>1000</v>
      </c>
      <c r="Z32">
        <v>2000</v>
      </c>
    </row>
    <row r="33" spans="3:26" x14ac:dyDescent="0.25">
      <c r="E33" t="s">
        <v>22</v>
      </c>
      <c r="H33" s="6">
        <f>SUM(H28:H32)</f>
        <v>42506</v>
      </c>
      <c r="I33" s="1">
        <v>9000</v>
      </c>
      <c r="J33" s="1">
        <v>85000</v>
      </c>
      <c r="K33" s="1">
        <v>8237.4</v>
      </c>
      <c r="L33" s="1">
        <v>22606.799999999999</v>
      </c>
      <c r="M33" s="1">
        <f>SUM(M28:M32)</f>
        <v>7807</v>
      </c>
      <c r="N33" s="1">
        <f>SUM(N28:N32)</f>
        <v>9364.9</v>
      </c>
      <c r="O33" s="1">
        <f>(+N33+M33+L33+K33+I33)/5</f>
        <v>11403.22</v>
      </c>
      <c r="U33" t="s">
        <v>22</v>
      </c>
      <c r="X33" s="1">
        <v>5917.6</v>
      </c>
      <c r="Y33" s="1">
        <v>85000</v>
      </c>
      <c r="Z33">
        <f>SUM(Z28:Z32)</f>
        <v>9000</v>
      </c>
    </row>
    <row r="34" spans="3:26" x14ac:dyDescent="0.25">
      <c r="D34" t="s">
        <v>23</v>
      </c>
      <c r="H34" s="6">
        <f>H33</f>
        <v>42506</v>
      </c>
      <c r="I34" s="1">
        <v>9000</v>
      </c>
      <c r="J34" s="1">
        <v>85000</v>
      </c>
      <c r="K34" s="1">
        <v>8237.4</v>
      </c>
      <c r="L34" s="1">
        <v>22606.799999999999</v>
      </c>
      <c r="M34" s="1">
        <f>M33</f>
        <v>7807</v>
      </c>
      <c r="N34" s="1">
        <f>N33</f>
        <v>9364.9</v>
      </c>
      <c r="O34" s="1">
        <f>(+N34+M34+L34+K34+I34)/5</f>
        <v>11403.22</v>
      </c>
      <c r="T34" t="s">
        <v>23</v>
      </c>
      <c r="X34" s="1">
        <v>5917.6</v>
      </c>
      <c r="Y34" s="1">
        <v>85000</v>
      </c>
      <c r="Z34">
        <f>+Z33</f>
        <v>9000</v>
      </c>
    </row>
    <row r="35" spans="3:26" x14ac:dyDescent="0.25">
      <c r="D35" t="s">
        <v>24</v>
      </c>
      <c r="H35" s="6"/>
      <c r="L35" s="1"/>
      <c r="M35" s="1"/>
      <c r="N35" s="1"/>
      <c r="T35" t="s">
        <v>24</v>
      </c>
    </row>
    <row r="36" spans="3:26" x14ac:dyDescent="0.25">
      <c r="E36" t="s">
        <v>25</v>
      </c>
      <c r="H36" s="6">
        <v>25000</v>
      </c>
      <c r="I36" s="1">
        <v>30000</v>
      </c>
      <c r="J36" s="1">
        <v>25000</v>
      </c>
      <c r="K36" s="1">
        <v>7439.84</v>
      </c>
      <c r="L36" s="1">
        <v>5262.92</v>
      </c>
      <c r="M36" s="1">
        <v>19403.7</v>
      </c>
      <c r="N36" s="1">
        <v>41087.79</v>
      </c>
      <c r="O36" s="1">
        <f>(+N36+M36+L36+K36+I36)/5</f>
        <v>20638.849999999999</v>
      </c>
      <c r="U36" t="s">
        <v>25</v>
      </c>
      <c r="X36" s="1">
        <v>20655.29</v>
      </c>
      <c r="Y36" s="1">
        <v>25000</v>
      </c>
      <c r="Z36">
        <v>30000</v>
      </c>
    </row>
    <row r="37" spans="3:26" x14ac:dyDescent="0.25">
      <c r="E37" t="s">
        <v>26</v>
      </c>
      <c r="H37" s="6">
        <v>0</v>
      </c>
      <c r="I37" s="1">
        <v>0</v>
      </c>
      <c r="J37" s="1">
        <v>1000</v>
      </c>
      <c r="L37" s="1">
        <v>826.3</v>
      </c>
      <c r="M37" s="1">
        <v>0</v>
      </c>
      <c r="N37" s="1">
        <v>1000</v>
      </c>
      <c r="O37" s="1">
        <f>(+N37+M37+L37+K37+I37)/5</f>
        <v>365.26</v>
      </c>
      <c r="U37" t="s">
        <v>26</v>
      </c>
      <c r="X37" s="1">
        <v>0</v>
      </c>
      <c r="Y37" s="1">
        <v>1000</v>
      </c>
      <c r="Z37">
        <v>0</v>
      </c>
    </row>
    <row r="38" spans="3:26" x14ac:dyDescent="0.25">
      <c r="E38" t="s">
        <v>27</v>
      </c>
      <c r="H38" s="6">
        <v>500</v>
      </c>
      <c r="I38" s="1">
        <v>238380</v>
      </c>
      <c r="J38" s="1">
        <v>500</v>
      </c>
      <c r="K38" s="1">
        <v>51</v>
      </c>
      <c r="L38" s="1">
        <v>0</v>
      </c>
      <c r="M38" s="1">
        <v>484.87</v>
      </c>
      <c r="N38" s="1">
        <v>3871.28</v>
      </c>
      <c r="O38" s="1">
        <f>(+N38+M38+L38+K38+I38)/5</f>
        <v>48557.43</v>
      </c>
      <c r="U38" t="s">
        <v>27</v>
      </c>
      <c r="X38" s="1">
        <v>238380</v>
      </c>
      <c r="Y38" s="1">
        <v>500</v>
      </c>
      <c r="Z38" s="27">
        <f>+X38</f>
        <v>238380</v>
      </c>
    </row>
    <row r="39" spans="3:26" x14ac:dyDescent="0.25">
      <c r="D39" t="s">
        <v>28</v>
      </c>
      <c r="H39" s="6">
        <f>SUM(H36:H38)</f>
        <v>25500</v>
      </c>
      <c r="I39" s="1">
        <v>268380</v>
      </c>
      <c r="J39" s="1">
        <v>26500</v>
      </c>
      <c r="K39" s="1">
        <v>7490.84</v>
      </c>
      <c r="L39" s="1">
        <v>6089.22</v>
      </c>
      <c r="M39" s="1">
        <f>SUM(M36:M38)</f>
        <v>19888.57</v>
      </c>
      <c r="N39" s="1">
        <f>SUM(N36:N38)</f>
        <v>45959.07</v>
      </c>
      <c r="O39" s="1">
        <f>(+N39+M39+L39+K39+I39)/5</f>
        <v>69561.540000000008</v>
      </c>
      <c r="T39" t="s">
        <v>28</v>
      </c>
      <c r="X39" s="1">
        <v>259035.29</v>
      </c>
      <c r="Y39" s="1">
        <v>26500</v>
      </c>
      <c r="Z39">
        <f>SUM(Z36:Z38)</f>
        <v>268380</v>
      </c>
    </row>
    <row r="40" spans="3:26" x14ac:dyDescent="0.25">
      <c r="C40" s="2" t="s">
        <v>149</v>
      </c>
      <c r="H40" s="44">
        <f>ROUND(H11+H14+H17+H25+H34+H39,5)</f>
        <v>850606</v>
      </c>
      <c r="I40" s="40">
        <v>759783.45</v>
      </c>
      <c r="J40" s="40">
        <v>579300</v>
      </c>
      <c r="K40" s="40">
        <v>608823.88</v>
      </c>
      <c r="L40" s="1">
        <v>600593.48</v>
      </c>
      <c r="M40" s="1">
        <f>ROUND(M7+M11+M14+M17+M25+M34+M39,5)</f>
        <v>544745.57999999996</v>
      </c>
      <c r="N40" s="1">
        <f>ROUND(N7+N11+N14+N17+N25+N34+N39,5)</f>
        <v>515380.78</v>
      </c>
      <c r="O40" s="1">
        <f>(+N40+M40+L40+K40+I40)/5</f>
        <v>605865.43400000001</v>
      </c>
      <c r="S40" t="s">
        <v>228</v>
      </c>
      <c r="X40" s="1">
        <v>584287.34</v>
      </c>
      <c r="Y40" s="1">
        <v>579300</v>
      </c>
      <c r="Z40" s="27">
        <f>+Z39+Z34+Z25+Z14+AA11</f>
        <v>759783.45</v>
      </c>
    </row>
    <row r="41" spans="3:26" x14ac:dyDescent="0.25">
      <c r="C41" s="2" t="s">
        <v>29</v>
      </c>
      <c r="H41" s="6"/>
      <c r="L41" s="1"/>
      <c r="M41" s="1"/>
      <c r="N41" s="1"/>
      <c r="S41" t="s">
        <v>29</v>
      </c>
    </row>
    <row r="42" spans="3:26" x14ac:dyDescent="0.25">
      <c r="D42" t="s">
        <v>30</v>
      </c>
      <c r="H42" s="6"/>
      <c r="L42" s="1"/>
      <c r="M42" s="1"/>
      <c r="N42" s="1"/>
      <c r="T42" t="s">
        <v>30</v>
      </c>
    </row>
    <row r="43" spans="3:26" x14ac:dyDescent="0.25">
      <c r="E43" s="2" t="s">
        <v>31</v>
      </c>
      <c r="H43" s="6"/>
      <c r="L43" s="1"/>
      <c r="M43" s="1"/>
      <c r="N43" s="1"/>
      <c r="U43" t="s">
        <v>31</v>
      </c>
    </row>
    <row r="44" spans="3:26" x14ac:dyDescent="0.25">
      <c r="F44" t="s">
        <v>32</v>
      </c>
      <c r="H44" s="6"/>
      <c r="L44" s="1"/>
      <c r="M44" s="1"/>
      <c r="N44" s="1"/>
      <c r="V44" t="s">
        <v>32</v>
      </c>
    </row>
    <row r="45" spans="3:26" x14ac:dyDescent="0.25">
      <c r="G45" t="s">
        <v>33</v>
      </c>
      <c r="H45" s="6">
        <f>(200*3*12)+(110*18)+(100*2*36)+(160*3*6)</f>
        <v>19260</v>
      </c>
      <c r="I45" s="1">
        <v>19440</v>
      </c>
      <c r="J45" s="1">
        <v>12500</v>
      </c>
      <c r="K45" s="1">
        <v>17917.5</v>
      </c>
      <c r="L45" s="1">
        <v>12422.5</v>
      </c>
      <c r="M45" s="1">
        <v>11137.5</v>
      </c>
      <c r="N45" s="1">
        <v>9837.5</v>
      </c>
      <c r="O45" s="1">
        <f t="shared" ref="O45:O50" si="1">(+N45+M45+L45+K45+I45)/5</f>
        <v>14151</v>
      </c>
      <c r="W45" t="s">
        <v>33</v>
      </c>
      <c r="X45" s="1">
        <v>14580</v>
      </c>
      <c r="Y45" s="1">
        <v>12500</v>
      </c>
      <c r="Z45" s="27">
        <f>X45/9*12</f>
        <v>19440</v>
      </c>
    </row>
    <row r="46" spans="3:26" x14ac:dyDescent="0.25">
      <c r="G46" t="s">
        <v>34</v>
      </c>
      <c r="H46" s="6">
        <v>1500</v>
      </c>
      <c r="I46" s="1">
        <v>1785.1066666666666</v>
      </c>
      <c r="J46" s="1">
        <v>300</v>
      </c>
      <c r="K46" s="1">
        <v>602.85</v>
      </c>
      <c r="L46" s="1">
        <v>263.2</v>
      </c>
      <c r="M46" s="1">
        <v>49.88</v>
      </c>
      <c r="N46" s="1">
        <v>313.77999999999997</v>
      </c>
      <c r="O46" s="1">
        <f t="shared" si="1"/>
        <v>602.96333333333337</v>
      </c>
      <c r="W46" t="s">
        <v>34</v>
      </c>
      <c r="X46" s="1">
        <v>1338.83</v>
      </c>
      <c r="Y46" s="1">
        <v>300</v>
      </c>
      <c r="Z46" s="27">
        <f>X46/9*12</f>
        <v>1785.1066666666666</v>
      </c>
    </row>
    <row r="47" spans="3:26" x14ac:dyDescent="0.25">
      <c r="G47" t="s">
        <v>35</v>
      </c>
      <c r="H47" s="6">
        <f>+H45*0.0765</f>
        <v>1473.3899999999999</v>
      </c>
      <c r="I47" s="1">
        <v>1487.1733333333334</v>
      </c>
      <c r="J47" s="1">
        <v>956.25</v>
      </c>
      <c r="K47" s="1">
        <v>1437.63</v>
      </c>
      <c r="L47" s="1">
        <v>915.15</v>
      </c>
      <c r="M47" s="1">
        <v>843.61</v>
      </c>
      <c r="N47" s="1">
        <v>752.57</v>
      </c>
      <c r="O47" s="1">
        <f t="shared" si="1"/>
        <v>1087.2266666666667</v>
      </c>
      <c r="W47" t="s">
        <v>35</v>
      </c>
      <c r="X47" s="1">
        <v>1115.3800000000001</v>
      </c>
      <c r="Y47" s="1">
        <v>956.25</v>
      </c>
      <c r="Z47" s="27">
        <f>X47/9*12</f>
        <v>1487.1733333333334</v>
      </c>
    </row>
    <row r="48" spans="3:26" x14ac:dyDescent="0.25">
      <c r="G48" t="s">
        <v>36</v>
      </c>
      <c r="H48" s="6">
        <v>0</v>
      </c>
      <c r="I48" s="1">
        <v>59.05</v>
      </c>
      <c r="J48" s="1">
        <v>0</v>
      </c>
      <c r="L48" s="1">
        <v>0</v>
      </c>
      <c r="M48" s="1">
        <v>30.54</v>
      </c>
      <c r="N48" s="1">
        <v>32.36</v>
      </c>
      <c r="O48" s="1">
        <f t="shared" si="1"/>
        <v>24.389999999999997</v>
      </c>
      <c r="W48" t="s">
        <v>36</v>
      </c>
      <c r="X48" s="1">
        <v>59.05</v>
      </c>
      <c r="Z48">
        <v>59.05</v>
      </c>
    </row>
    <row r="49" spans="5:26" x14ac:dyDescent="0.25">
      <c r="F49" t="s">
        <v>37</v>
      </c>
      <c r="H49" s="6">
        <f>SUM(H45:H48)</f>
        <v>22233.39</v>
      </c>
      <c r="I49" s="1">
        <v>22771.329999999998</v>
      </c>
      <c r="J49" s="1">
        <v>13756.25</v>
      </c>
      <c r="K49" s="1">
        <v>19957.98</v>
      </c>
      <c r="L49" s="1">
        <v>13600.85</v>
      </c>
      <c r="M49" s="1">
        <f>SUM(M45:M48)</f>
        <v>12061.53</v>
      </c>
      <c r="N49" s="1">
        <f>SUM(N45:N48)</f>
        <v>10936.210000000001</v>
      </c>
      <c r="O49" s="1">
        <f t="shared" si="1"/>
        <v>15865.580000000002</v>
      </c>
      <c r="V49" t="s">
        <v>37</v>
      </c>
      <c r="X49" s="1">
        <v>17093.259999999998</v>
      </c>
      <c r="Y49" s="1">
        <v>13756.25</v>
      </c>
      <c r="Z49" s="27">
        <f>SUM(Z45:Z48)</f>
        <v>22771.329999999998</v>
      </c>
    </row>
    <row r="50" spans="5:26" x14ac:dyDescent="0.25">
      <c r="E50" t="s">
        <v>38</v>
      </c>
      <c r="H50" s="37">
        <f>H49</f>
        <v>22233.39</v>
      </c>
      <c r="I50" s="1">
        <v>22771.329999999998</v>
      </c>
      <c r="J50" s="1">
        <v>13756.25</v>
      </c>
      <c r="K50" s="1">
        <v>19957.98</v>
      </c>
      <c r="L50" s="1">
        <v>13600.85</v>
      </c>
      <c r="M50" s="1">
        <f>M49</f>
        <v>12061.53</v>
      </c>
      <c r="N50" s="1">
        <f>N49</f>
        <v>10936.210000000001</v>
      </c>
      <c r="O50" s="1">
        <f t="shared" si="1"/>
        <v>15865.580000000002</v>
      </c>
      <c r="U50" t="s">
        <v>38</v>
      </c>
      <c r="X50" s="1">
        <v>17093.259999999998</v>
      </c>
      <c r="Y50" s="1">
        <v>13756.25</v>
      </c>
      <c r="Z50" s="27">
        <f>+Z49</f>
        <v>22771.329999999998</v>
      </c>
    </row>
    <row r="51" spans="5:26" x14ac:dyDescent="0.25">
      <c r="E51" s="2" t="s">
        <v>39</v>
      </c>
      <c r="H51" s="6"/>
      <c r="L51" s="1"/>
      <c r="M51" s="1"/>
      <c r="N51" s="1"/>
      <c r="U51" t="s">
        <v>39</v>
      </c>
    </row>
    <row r="52" spans="5:26" x14ac:dyDescent="0.25">
      <c r="F52" t="s">
        <v>40</v>
      </c>
      <c r="H52" s="6">
        <f>(450*12)+(80*24)+(160*4)</f>
        <v>7960</v>
      </c>
      <c r="I52" s="1">
        <v>9436.6666666666679</v>
      </c>
      <c r="J52" s="1">
        <v>15000</v>
      </c>
      <c r="K52" s="1">
        <v>16805</v>
      </c>
      <c r="L52" s="1">
        <v>13212.5</v>
      </c>
      <c r="M52" s="1">
        <v>25762.5</v>
      </c>
      <c r="N52" s="1">
        <v>27122.5</v>
      </c>
      <c r="O52" s="1">
        <f t="shared" ref="O52:O57" si="2">(+N52+M52+L52+K52+I52)/5</f>
        <v>18467.833333333336</v>
      </c>
      <c r="V52" t="s">
        <v>40</v>
      </c>
      <c r="X52" s="1">
        <v>7077.5</v>
      </c>
      <c r="Y52" s="1">
        <v>15000</v>
      </c>
      <c r="Z52" s="27">
        <f>X52/9*12</f>
        <v>9436.6666666666679</v>
      </c>
    </row>
    <row r="53" spans="5:26" x14ac:dyDescent="0.25">
      <c r="F53" t="s">
        <v>124</v>
      </c>
      <c r="H53" s="6">
        <v>1000</v>
      </c>
      <c r="I53" s="1">
        <v>869.52</v>
      </c>
      <c r="J53" s="1">
        <v>2000</v>
      </c>
      <c r="K53" s="1">
        <v>2525.2600000000002</v>
      </c>
      <c r="L53" s="1">
        <v>961.03</v>
      </c>
      <c r="M53" s="1">
        <v>829.33</v>
      </c>
      <c r="N53" s="1">
        <v>482.52</v>
      </c>
      <c r="O53" s="1">
        <f t="shared" si="2"/>
        <v>1133.5319999999999</v>
      </c>
      <c r="V53" t="s">
        <v>124</v>
      </c>
      <c r="X53" s="1">
        <v>652.14</v>
      </c>
      <c r="Y53" s="1">
        <v>2000</v>
      </c>
      <c r="Z53" s="27">
        <f>X53/9*12</f>
        <v>869.52</v>
      </c>
    </row>
    <row r="54" spans="5:26" x14ac:dyDescent="0.25">
      <c r="F54" t="s">
        <v>41</v>
      </c>
      <c r="H54" s="6">
        <f>H52*0.05</f>
        <v>398</v>
      </c>
      <c r="I54" s="1">
        <v>495.84000000000003</v>
      </c>
      <c r="J54" s="1">
        <v>750</v>
      </c>
      <c r="K54" s="1">
        <v>840.28</v>
      </c>
      <c r="L54" s="1">
        <v>660.64</v>
      </c>
      <c r="M54" s="1">
        <v>1260.9000000000001</v>
      </c>
      <c r="N54" s="1">
        <v>1352.41</v>
      </c>
      <c r="O54" s="1">
        <f t="shared" si="2"/>
        <v>922.01400000000012</v>
      </c>
      <c r="V54" t="s">
        <v>41</v>
      </c>
      <c r="X54" s="1">
        <v>371.88</v>
      </c>
      <c r="Y54" s="1">
        <v>750</v>
      </c>
      <c r="Z54" s="27">
        <f>X54/9*12</f>
        <v>495.84000000000003</v>
      </c>
    </row>
    <row r="55" spans="5:26" x14ac:dyDescent="0.25">
      <c r="F55" t="s">
        <v>42</v>
      </c>
      <c r="H55" s="6">
        <f>H52*0.0765</f>
        <v>608.93999999999994</v>
      </c>
      <c r="I55" s="1">
        <v>709.66666666666663</v>
      </c>
      <c r="J55" s="1">
        <v>1147.5</v>
      </c>
      <c r="K55" s="1">
        <v>1285.5999999999999</v>
      </c>
      <c r="L55" s="1">
        <v>1045.95</v>
      </c>
      <c r="M55" s="1">
        <v>1930.67</v>
      </c>
      <c r="N55" s="1">
        <v>2069.14</v>
      </c>
      <c r="O55" s="1">
        <f t="shared" si="2"/>
        <v>1408.2053333333336</v>
      </c>
      <c r="V55" t="s">
        <v>42</v>
      </c>
      <c r="X55" s="1">
        <v>532.25</v>
      </c>
      <c r="Y55" s="1">
        <v>1147.5</v>
      </c>
      <c r="Z55" s="27">
        <f>X55/9*12</f>
        <v>709.66666666666663</v>
      </c>
    </row>
    <row r="56" spans="5:26" x14ac:dyDescent="0.25">
      <c r="F56" t="s">
        <v>43</v>
      </c>
      <c r="H56" s="6">
        <v>3000</v>
      </c>
      <c r="I56" s="1">
        <v>0</v>
      </c>
      <c r="J56" s="1">
        <v>0</v>
      </c>
      <c r="K56" s="1">
        <v>3103.48</v>
      </c>
      <c r="L56" s="1">
        <v>0</v>
      </c>
      <c r="M56" s="1">
        <v>4809.63</v>
      </c>
      <c r="N56" s="1">
        <v>3687.28</v>
      </c>
      <c r="O56" s="1">
        <f t="shared" si="2"/>
        <v>2320.078</v>
      </c>
      <c r="Z56">
        <v>0</v>
      </c>
    </row>
    <row r="57" spans="5:26" x14ac:dyDescent="0.25">
      <c r="F57" t="s">
        <v>44</v>
      </c>
      <c r="H57" s="6">
        <v>100</v>
      </c>
      <c r="I57" s="1">
        <v>0</v>
      </c>
      <c r="J57" s="1">
        <v>100</v>
      </c>
      <c r="K57" s="1">
        <v>46</v>
      </c>
      <c r="L57" s="1">
        <v>0</v>
      </c>
      <c r="M57" s="1">
        <v>0</v>
      </c>
      <c r="N57" s="1">
        <v>56</v>
      </c>
      <c r="O57" s="1">
        <f t="shared" si="2"/>
        <v>20.399999999999999</v>
      </c>
      <c r="V57" t="s">
        <v>44</v>
      </c>
      <c r="X57" s="1">
        <v>0</v>
      </c>
      <c r="Y57" s="1">
        <v>100</v>
      </c>
      <c r="Z57">
        <v>0</v>
      </c>
    </row>
    <row r="58" spans="5:26" x14ac:dyDescent="0.25">
      <c r="F58" t="s">
        <v>45</v>
      </c>
      <c r="H58" s="6"/>
      <c r="L58" s="1"/>
      <c r="M58" s="1"/>
      <c r="N58" s="1"/>
      <c r="V58" t="s">
        <v>45</v>
      </c>
    </row>
    <row r="59" spans="5:26" x14ac:dyDescent="0.25">
      <c r="G59" t="s">
        <v>46</v>
      </c>
      <c r="H59" s="6">
        <v>405</v>
      </c>
      <c r="I59" s="1">
        <v>400</v>
      </c>
      <c r="J59" s="1">
        <v>405</v>
      </c>
      <c r="K59" s="1">
        <v>405</v>
      </c>
      <c r="L59" s="1">
        <v>405</v>
      </c>
      <c r="M59" s="1">
        <v>400</v>
      </c>
      <c r="N59" s="1">
        <v>405</v>
      </c>
      <c r="O59" s="1">
        <f t="shared" ref="O59:O86" si="3">(+N59+M59+L59+K59+I59)/5</f>
        <v>403</v>
      </c>
      <c r="W59" t="s">
        <v>46</v>
      </c>
      <c r="X59" s="1">
        <v>400</v>
      </c>
      <c r="Y59" s="1">
        <v>405</v>
      </c>
      <c r="Z59" s="27">
        <v>400</v>
      </c>
    </row>
    <row r="60" spans="5:26" x14ac:dyDescent="0.25">
      <c r="G60" t="s">
        <v>125</v>
      </c>
      <c r="H60" s="6">
        <v>2000</v>
      </c>
      <c r="I60" s="1">
        <v>4414</v>
      </c>
      <c r="J60" s="1">
        <v>2000</v>
      </c>
      <c r="K60" s="1">
        <v>0</v>
      </c>
      <c r="L60" s="1">
        <v>5021</v>
      </c>
      <c r="M60" s="1">
        <v>5632</v>
      </c>
      <c r="N60" s="1">
        <v>5032</v>
      </c>
      <c r="O60" s="1">
        <f t="shared" si="3"/>
        <v>4019.8</v>
      </c>
      <c r="W60" t="s">
        <v>125</v>
      </c>
      <c r="X60" s="1">
        <v>4414</v>
      </c>
      <c r="Y60" s="1">
        <v>2000</v>
      </c>
      <c r="Z60" s="27">
        <f>+X60</f>
        <v>4414</v>
      </c>
    </row>
    <row r="61" spans="5:26" x14ac:dyDescent="0.25">
      <c r="G61" t="s">
        <v>47</v>
      </c>
      <c r="H61" s="6">
        <v>100</v>
      </c>
      <c r="I61" s="1">
        <v>24642.75</v>
      </c>
      <c r="J61" s="1">
        <v>100</v>
      </c>
      <c r="K61" s="1">
        <v>69.33</v>
      </c>
      <c r="L61" s="1">
        <v>68.64</v>
      </c>
      <c r="M61" s="1">
        <v>215.03</v>
      </c>
      <c r="N61" s="1">
        <v>336.99</v>
      </c>
      <c r="O61" s="1">
        <f t="shared" si="3"/>
        <v>5066.5480000000007</v>
      </c>
      <c r="W61" t="s">
        <v>47</v>
      </c>
      <c r="X61" s="1">
        <v>24642.75</v>
      </c>
      <c r="Y61" s="1">
        <v>100</v>
      </c>
      <c r="Z61" s="27">
        <f>+X61</f>
        <v>24642.75</v>
      </c>
    </row>
    <row r="62" spans="5:26" x14ac:dyDescent="0.25">
      <c r="G62" t="s">
        <v>48</v>
      </c>
      <c r="H62" s="6">
        <v>100</v>
      </c>
      <c r="I62" s="1">
        <v>37.226666666666667</v>
      </c>
      <c r="J62" s="1">
        <v>300</v>
      </c>
      <c r="K62" s="1">
        <v>63.43</v>
      </c>
      <c r="L62" s="1">
        <v>207.28</v>
      </c>
      <c r="M62" s="1">
        <v>55.82</v>
      </c>
      <c r="N62" s="1">
        <v>749.33</v>
      </c>
      <c r="O62" s="1">
        <f t="shared" si="3"/>
        <v>222.61733333333336</v>
      </c>
      <c r="W62" t="s">
        <v>48</v>
      </c>
      <c r="X62" s="1">
        <v>27.92</v>
      </c>
      <c r="Y62" s="1">
        <v>300</v>
      </c>
      <c r="Z62" s="27">
        <f t="shared" ref="Z62:Z73" si="4">X62/9*12</f>
        <v>37.226666666666667</v>
      </c>
    </row>
    <row r="63" spans="5:26" x14ac:dyDescent="0.25">
      <c r="G63" t="s">
        <v>49</v>
      </c>
      <c r="H63" s="6">
        <v>1500</v>
      </c>
      <c r="I63" s="1">
        <v>1443.8533333333335</v>
      </c>
      <c r="J63" s="1">
        <v>1500</v>
      </c>
      <c r="K63" s="1">
        <v>1665.3</v>
      </c>
      <c r="L63" s="1">
        <v>1022</v>
      </c>
      <c r="M63" s="1">
        <v>987.96</v>
      </c>
      <c r="N63" s="1">
        <v>819.54</v>
      </c>
      <c r="O63" s="1">
        <f t="shared" si="3"/>
        <v>1187.7306666666668</v>
      </c>
      <c r="P63" s="1" t="s">
        <v>211</v>
      </c>
      <c r="W63" t="s">
        <v>49</v>
      </c>
      <c r="X63" s="1">
        <v>1082.8900000000001</v>
      </c>
      <c r="Y63" s="1">
        <v>1500</v>
      </c>
      <c r="Z63" s="27">
        <f t="shared" si="4"/>
        <v>1443.8533333333335</v>
      </c>
    </row>
    <row r="64" spans="5:26" x14ac:dyDescent="0.25">
      <c r="G64" t="s">
        <v>50</v>
      </c>
      <c r="H64" s="6">
        <v>100</v>
      </c>
      <c r="I64" s="1">
        <v>58.173333333333332</v>
      </c>
      <c r="J64" s="1">
        <v>250</v>
      </c>
      <c r="K64" s="1">
        <v>76.150000000000006</v>
      </c>
      <c r="L64" s="1">
        <v>629.70000000000005</v>
      </c>
      <c r="M64" s="1">
        <v>69.34</v>
      </c>
      <c r="N64" s="1">
        <v>496.29</v>
      </c>
      <c r="O64" s="1">
        <f t="shared" si="3"/>
        <v>265.9306666666667</v>
      </c>
      <c r="W64" t="s">
        <v>50</v>
      </c>
      <c r="X64" s="1">
        <v>43.63</v>
      </c>
      <c r="Y64" s="1">
        <v>250</v>
      </c>
      <c r="Z64" s="27">
        <f t="shared" si="4"/>
        <v>58.173333333333332</v>
      </c>
    </row>
    <row r="65" spans="7:26" x14ac:dyDescent="0.25">
      <c r="G65" t="s">
        <v>51</v>
      </c>
      <c r="H65" s="6">
        <v>600</v>
      </c>
      <c r="I65" s="1">
        <v>826.66666666666663</v>
      </c>
      <c r="J65" s="1">
        <v>300</v>
      </c>
      <c r="K65" s="1">
        <v>620</v>
      </c>
      <c r="L65" s="1">
        <v>180</v>
      </c>
      <c r="M65" s="1">
        <v>150</v>
      </c>
      <c r="N65" s="1">
        <v>405</v>
      </c>
      <c r="O65" s="1">
        <f t="shared" si="3"/>
        <v>436.33333333333331</v>
      </c>
      <c r="W65" t="s">
        <v>51</v>
      </c>
      <c r="X65" s="1">
        <v>620</v>
      </c>
      <c r="Y65" s="1">
        <v>300</v>
      </c>
      <c r="Z65" s="27">
        <f t="shared" si="4"/>
        <v>826.66666666666663</v>
      </c>
    </row>
    <row r="66" spans="7:26" x14ac:dyDescent="0.25">
      <c r="G66" t="s">
        <v>52</v>
      </c>
      <c r="H66" s="6">
        <v>250</v>
      </c>
      <c r="I66" s="1">
        <v>93.919999999999987</v>
      </c>
      <c r="J66" s="1">
        <v>250</v>
      </c>
      <c r="K66" s="1">
        <v>193.09</v>
      </c>
      <c r="L66" s="1">
        <v>0</v>
      </c>
      <c r="M66" s="1">
        <v>195</v>
      </c>
      <c r="N66" s="1">
        <v>252.49</v>
      </c>
      <c r="O66" s="1">
        <f t="shared" si="3"/>
        <v>146.9</v>
      </c>
      <c r="W66" t="s">
        <v>52</v>
      </c>
      <c r="X66" s="1">
        <v>70.44</v>
      </c>
      <c r="Y66" s="1">
        <v>250</v>
      </c>
      <c r="Z66" s="27">
        <f t="shared" si="4"/>
        <v>93.919999999999987</v>
      </c>
    </row>
    <row r="67" spans="7:26" x14ac:dyDescent="0.25">
      <c r="G67" t="s">
        <v>53</v>
      </c>
      <c r="H67" s="6">
        <v>150</v>
      </c>
      <c r="I67" s="1">
        <v>0</v>
      </c>
      <c r="J67" s="1">
        <v>150</v>
      </c>
      <c r="L67" s="1">
        <v>0</v>
      </c>
      <c r="M67" s="1">
        <v>150.1</v>
      </c>
      <c r="N67" s="1">
        <v>184.01</v>
      </c>
      <c r="O67" s="1">
        <f t="shared" si="3"/>
        <v>66.822000000000003</v>
      </c>
      <c r="W67" t="s">
        <v>53</v>
      </c>
      <c r="X67" s="1">
        <v>0</v>
      </c>
      <c r="Y67" s="1">
        <v>150</v>
      </c>
      <c r="Z67" s="27">
        <f t="shared" si="4"/>
        <v>0</v>
      </c>
    </row>
    <row r="68" spans="7:26" x14ac:dyDescent="0.25">
      <c r="G68" t="s">
        <v>204</v>
      </c>
      <c r="H68" s="6">
        <v>1500</v>
      </c>
      <c r="I68" s="1">
        <v>3500</v>
      </c>
      <c r="J68" s="1">
        <v>1300</v>
      </c>
      <c r="K68" s="1">
        <v>2464.63</v>
      </c>
      <c r="L68" s="1">
        <v>1604.25</v>
      </c>
      <c r="M68" s="1">
        <v>1043.9100000000001</v>
      </c>
      <c r="N68" s="1">
        <v>1978.98</v>
      </c>
      <c r="O68" s="1">
        <f t="shared" si="3"/>
        <v>2118.3540000000003</v>
      </c>
      <c r="P68" s="1" t="s">
        <v>237</v>
      </c>
      <c r="W68" t="s">
        <v>229</v>
      </c>
      <c r="X68" s="1">
        <v>3135.94</v>
      </c>
      <c r="Y68" s="1">
        <v>1300</v>
      </c>
      <c r="Z68" s="27">
        <v>3500</v>
      </c>
    </row>
    <row r="69" spans="7:26" x14ac:dyDescent="0.25">
      <c r="G69" t="s">
        <v>54</v>
      </c>
      <c r="H69" s="6">
        <f>60*12</f>
        <v>720</v>
      </c>
      <c r="I69" s="1">
        <v>884.01</v>
      </c>
      <c r="J69" s="1">
        <v>1440</v>
      </c>
      <c r="K69" s="1">
        <v>2154.96</v>
      </c>
      <c r="L69" s="1">
        <v>1521.48</v>
      </c>
      <c r="M69" s="1">
        <v>1641.2</v>
      </c>
      <c r="N69" s="1">
        <v>1995.53</v>
      </c>
      <c r="O69" s="1">
        <f t="shared" si="3"/>
        <v>1639.4360000000001</v>
      </c>
      <c r="P69" s="1" t="s">
        <v>202</v>
      </c>
      <c r="W69" t="s">
        <v>54</v>
      </c>
      <c r="X69" s="1">
        <v>704.01</v>
      </c>
      <c r="Y69" s="1">
        <v>1440</v>
      </c>
      <c r="Z69" s="27">
        <f>+X69+180</f>
        <v>884.01</v>
      </c>
    </row>
    <row r="70" spans="7:26" x14ac:dyDescent="0.25">
      <c r="G70" t="s">
        <v>55</v>
      </c>
      <c r="H70" s="6">
        <v>600</v>
      </c>
      <c r="I70" s="1">
        <v>596.40000000000009</v>
      </c>
      <c r="J70" s="1">
        <v>250</v>
      </c>
      <c r="K70" s="1">
        <v>252.07</v>
      </c>
      <c r="L70" s="1">
        <v>137.69999999999999</v>
      </c>
      <c r="M70" s="1">
        <v>180.32</v>
      </c>
      <c r="N70" s="1">
        <v>233.41</v>
      </c>
      <c r="O70" s="1">
        <f t="shared" si="3"/>
        <v>279.98</v>
      </c>
      <c r="P70" s="1" t="s">
        <v>212</v>
      </c>
      <c r="W70" t="s">
        <v>55</v>
      </c>
      <c r="X70" s="1">
        <v>447.3</v>
      </c>
      <c r="Y70" s="1">
        <v>250</v>
      </c>
      <c r="Z70" s="27">
        <f t="shared" si="4"/>
        <v>596.40000000000009</v>
      </c>
    </row>
    <row r="71" spans="7:26" x14ac:dyDescent="0.25">
      <c r="G71" t="s">
        <v>56</v>
      </c>
      <c r="H71" s="6">
        <v>1200</v>
      </c>
      <c r="I71" s="1">
        <v>1208.7199999999998</v>
      </c>
      <c r="J71" s="1">
        <v>1200</v>
      </c>
      <c r="K71" s="1">
        <v>1156.26</v>
      </c>
      <c r="L71" s="1">
        <v>2411.4299999999998</v>
      </c>
      <c r="M71" s="1">
        <v>1353.74</v>
      </c>
      <c r="N71" s="1">
        <v>1110.44</v>
      </c>
      <c r="O71" s="1">
        <f t="shared" si="3"/>
        <v>1448.1179999999999</v>
      </c>
      <c r="W71" t="s">
        <v>56</v>
      </c>
      <c r="X71" s="1">
        <v>906.54</v>
      </c>
      <c r="Y71" s="1">
        <v>1200</v>
      </c>
      <c r="Z71" s="27">
        <f t="shared" si="4"/>
        <v>1208.7199999999998</v>
      </c>
    </row>
    <row r="72" spans="7:26" x14ac:dyDescent="0.25">
      <c r="G72" t="s">
        <v>57</v>
      </c>
      <c r="H72" s="6">
        <v>500</v>
      </c>
      <c r="I72" s="1">
        <v>329.74666666666667</v>
      </c>
      <c r="J72" s="1">
        <v>500</v>
      </c>
      <c r="K72" s="1">
        <v>172.32</v>
      </c>
      <c r="L72" s="1">
        <v>0</v>
      </c>
      <c r="M72" s="1"/>
      <c r="N72" s="1"/>
      <c r="O72" s="1">
        <f t="shared" si="3"/>
        <v>100.41333333333333</v>
      </c>
      <c r="W72" t="s">
        <v>57</v>
      </c>
      <c r="X72" s="1">
        <v>247.31</v>
      </c>
      <c r="Y72" s="1">
        <v>500</v>
      </c>
      <c r="Z72" s="27">
        <f t="shared" si="4"/>
        <v>329.74666666666667</v>
      </c>
    </row>
    <row r="73" spans="7:26" x14ac:dyDescent="0.25">
      <c r="G73" t="s">
        <v>58</v>
      </c>
      <c r="H73" s="6">
        <v>3000</v>
      </c>
      <c r="I73" s="1">
        <v>8542.9600000000009</v>
      </c>
      <c r="J73" s="1">
        <v>2500</v>
      </c>
      <c r="K73" s="1">
        <v>3413.72</v>
      </c>
      <c r="L73" s="1">
        <v>1494.27</v>
      </c>
      <c r="M73" s="1">
        <v>3214.96</v>
      </c>
      <c r="N73" s="1">
        <v>2081.48</v>
      </c>
      <c r="O73" s="1">
        <f t="shared" si="3"/>
        <v>3749.4780000000001</v>
      </c>
      <c r="P73" s="1" t="s">
        <v>164</v>
      </c>
      <c r="W73" t="s">
        <v>58</v>
      </c>
      <c r="X73" s="1">
        <v>6407.22</v>
      </c>
      <c r="Y73" s="1">
        <v>2500</v>
      </c>
      <c r="Z73" s="27">
        <f t="shared" si="4"/>
        <v>8542.9600000000009</v>
      </c>
    </row>
    <row r="74" spans="7:26" x14ac:dyDescent="0.25">
      <c r="G74" t="s">
        <v>59</v>
      </c>
      <c r="H74" s="6">
        <v>1500</v>
      </c>
      <c r="I74" s="1">
        <v>3055</v>
      </c>
      <c r="J74" s="1">
        <v>3250</v>
      </c>
      <c r="K74" s="1">
        <v>3334</v>
      </c>
      <c r="L74" s="1">
        <v>2916</v>
      </c>
      <c r="M74" s="1">
        <v>4374</v>
      </c>
      <c r="N74" s="1">
        <v>3796</v>
      </c>
      <c r="O74" s="1">
        <f t="shared" si="3"/>
        <v>3495</v>
      </c>
      <c r="W74" t="s">
        <v>59</v>
      </c>
      <c r="X74" s="1">
        <v>5329</v>
      </c>
      <c r="Y74" s="1">
        <v>3250</v>
      </c>
      <c r="Z74" s="27">
        <f>+X74-2274</f>
        <v>3055</v>
      </c>
    </row>
    <row r="75" spans="7:26" x14ac:dyDescent="0.25">
      <c r="G75" t="s">
        <v>60</v>
      </c>
      <c r="H75" s="6">
        <v>3000</v>
      </c>
      <c r="I75" s="1">
        <v>3142.666666666667</v>
      </c>
      <c r="J75" s="1">
        <v>3000</v>
      </c>
      <c r="K75" s="1">
        <v>3173</v>
      </c>
      <c r="L75" s="1">
        <v>2844.53</v>
      </c>
      <c r="M75" s="1">
        <v>3212.48</v>
      </c>
      <c r="N75" s="1">
        <v>3423.63</v>
      </c>
      <c r="O75" s="1">
        <f t="shared" si="3"/>
        <v>3159.2613333333334</v>
      </c>
      <c r="P75" s="1" t="s">
        <v>238</v>
      </c>
      <c r="W75" t="s">
        <v>230</v>
      </c>
      <c r="X75" s="1">
        <v>2357</v>
      </c>
      <c r="Y75" s="1">
        <v>3000</v>
      </c>
      <c r="Z75" s="27">
        <f>X75/9*12</f>
        <v>3142.666666666667</v>
      </c>
    </row>
    <row r="76" spans="7:26" x14ac:dyDescent="0.25">
      <c r="G76" t="s">
        <v>61</v>
      </c>
      <c r="H76" s="6">
        <v>3000</v>
      </c>
      <c r="I76" s="1">
        <v>2763.4800000000005</v>
      </c>
      <c r="J76" s="1">
        <v>5000</v>
      </c>
      <c r="K76" s="1">
        <v>4081.12</v>
      </c>
      <c r="L76" s="1">
        <v>2091.5700000000002</v>
      </c>
      <c r="M76" s="1">
        <v>2401.56</v>
      </c>
      <c r="N76" s="1">
        <v>3672.93</v>
      </c>
      <c r="O76" s="1">
        <f t="shared" si="3"/>
        <v>3002.1320000000001</v>
      </c>
      <c r="W76" t="s">
        <v>61</v>
      </c>
      <c r="X76" s="1">
        <v>2072.61</v>
      </c>
      <c r="Y76" s="1">
        <v>5000</v>
      </c>
      <c r="Z76" s="27">
        <f>X76/9*12</f>
        <v>2763.4800000000005</v>
      </c>
    </row>
    <row r="77" spans="7:26" x14ac:dyDescent="0.25">
      <c r="G77" t="s">
        <v>134</v>
      </c>
      <c r="H77" s="6">
        <v>100</v>
      </c>
      <c r="I77" s="1">
        <v>0</v>
      </c>
      <c r="J77" s="1">
        <v>100</v>
      </c>
      <c r="K77" s="1">
        <v>0</v>
      </c>
      <c r="L77" s="1">
        <v>78</v>
      </c>
      <c r="M77" s="1">
        <v>411.13</v>
      </c>
      <c r="N77" s="1">
        <v>18</v>
      </c>
      <c r="O77" s="1">
        <f t="shared" si="3"/>
        <v>101.426</v>
      </c>
      <c r="W77" t="s">
        <v>134</v>
      </c>
      <c r="X77" s="1">
        <v>0</v>
      </c>
      <c r="Y77" s="1">
        <v>100</v>
      </c>
      <c r="Z77" s="27">
        <f>X77/9*12</f>
        <v>0</v>
      </c>
    </row>
    <row r="78" spans="7:26" x14ac:dyDescent="0.25">
      <c r="G78" t="s">
        <v>62</v>
      </c>
      <c r="H78" s="6">
        <v>150</v>
      </c>
      <c r="I78" s="1">
        <v>185</v>
      </c>
      <c r="J78" s="1">
        <v>150</v>
      </c>
      <c r="K78" s="1">
        <v>320</v>
      </c>
      <c r="L78" s="1">
        <v>140</v>
      </c>
      <c r="M78" s="1">
        <v>260</v>
      </c>
      <c r="N78" s="1">
        <v>130</v>
      </c>
      <c r="O78" s="1">
        <f t="shared" si="3"/>
        <v>207</v>
      </c>
      <c r="W78" t="s">
        <v>62</v>
      </c>
      <c r="X78" s="1">
        <v>185</v>
      </c>
      <c r="Y78" s="1">
        <v>150</v>
      </c>
      <c r="Z78" s="27">
        <v>185</v>
      </c>
    </row>
    <row r="79" spans="7:26" x14ac:dyDescent="0.25">
      <c r="G79" t="s">
        <v>63</v>
      </c>
      <c r="H79" s="6">
        <v>1000</v>
      </c>
      <c r="I79" s="1">
        <v>697.12</v>
      </c>
      <c r="J79" s="1">
        <v>5000</v>
      </c>
      <c r="K79" s="1">
        <v>2141.69</v>
      </c>
      <c r="L79" s="1">
        <v>3940</v>
      </c>
      <c r="M79" s="1">
        <v>7150</v>
      </c>
      <c r="N79" s="1">
        <v>2522.85</v>
      </c>
      <c r="O79" s="1">
        <f t="shared" si="3"/>
        <v>3290.3319999999999</v>
      </c>
      <c r="W79" t="s">
        <v>63</v>
      </c>
      <c r="X79" s="1">
        <v>522.84</v>
      </c>
      <c r="Y79" s="1">
        <v>5000</v>
      </c>
      <c r="Z79" s="27">
        <f>X79/9*12</f>
        <v>697.12</v>
      </c>
    </row>
    <row r="80" spans="7:26" x14ac:dyDescent="0.25">
      <c r="G80" t="s">
        <v>64</v>
      </c>
      <c r="H80" s="6">
        <f>80*12</f>
        <v>960</v>
      </c>
      <c r="I80" s="1">
        <v>1600</v>
      </c>
      <c r="J80" s="1">
        <v>350</v>
      </c>
      <c r="K80" s="1">
        <v>820</v>
      </c>
      <c r="L80" s="1">
        <v>125</v>
      </c>
      <c r="M80" s="1">
        <v>319.95</v>
      </c>
      <c r="N80" s="1">
        <v>400</v>
      </c>
      <c r="O80" s="1">
        <f t="shared" si="3"/>
        <v>652.99</v>
      </c>
      <c r="W80" t="s">
        <v>64</v>
      </c>
      <c r="X80" s="1">
        <v>1200</v>
      </c>
      <c r="Y80" s="1">
        <v>350</v>
      </c>
      <c r="Z80" s="27">
        <f>X80/9*12</f>
        <v>1600</v>
      </c>
    </row>
    <row r="81" spans="5:26" x14ac:dyDescent="0.25">
      <c r="G81" t="s">
        <v>65</v>
      </c>
      <c r="H81" s="6">
        <v>1200</v>
      </c>
      <c r="I81" s="1">
        <v>1072.44</v>
      </c>
      <c r="J81" s="1">
        <v>1500</v>
      </c>
      <c r="K81" s="1">
        <v>1092.6600000000001</v>
      </c>
      <c r="L81" s="1">
        <v>1121.73</v>
      </c>
      <c r="M81" s="1">
        <v>1393.77</v>
      </c>
      <c r="N81" s="1">
        <v>1087.17</v>
      </c>
      <c r="O81" s="1">
        <f t="shared" si="3"/>
        <v>1153.5540000000001</v>
      </c>
      <c r="W81" t="s">
        <v>65</v>
      </c>
      <c r="X81" s="1">
        <v>1072.44</v>
      </c>
      <c r="Y81" s="1">
        <v>1500</v>
      </c>
      <c r="Z81" s="27">
        <f>+X81</f>
        <v>1072.44</v>
      </c>
    </row>
    <row r="82" spans="5:26" x14ac:dyDescent="0.25">
      <c r="G82" t="s">
        <v>66</v>
      </c>
      <c r="H82" s="6">
        <v>0</v>
      </c>
      <c r="I82" s="1">
        <v>0</v>
      </c>
      <c r="J82" s="1">
        <v>1000</v>
      </c>
      <c r="K82" s="1">
        <v>3200</v>
      </c>
      <c r="L82" s="1">
        <v>1000</v>
      </c>
      <c r="M82" s="1">
        <v>500</v>
      </c>
      <c r="N82" s="1">
        <v>1000</v>
      </c>
      <c r="O82" s="1">
        <f t="shared" si="3"/>
        <v>1140</v>
      </c>
      <c r="W82" t="s">
        <v>66</v>
      </c>
      <c r="X82" s="1">
        <v>0</v>
      </c>
      <c r="Y82" s="1">
        <v>1000</v>
      </c>
      <c r="Z82" s="27">
        <f>X82/9*12</f>
        <v>0</v>
      </c>
    </row>
    <row r="83" spans="5:26" x14ac:dyDescent="0.25">
      <c r="G83" t="s">
        <v>67</v>
      </c>
      <c r="H83" s="6">
        <v>500</v>
      </c>
      <c r="I83" s="1">
        <v>0</v>
      </c>
      <c r="J83" s="1">
        <v>1000</v>
      </c>
      <c r="K83" s="1">
        <v>3436</v>
      </c>
      <c r="L83" s="1">
        <v>109.41</v>
      </c>
      <c r="M83" s="1">
        <v>11170.17</v>
      </c>
      <c r="N83" s="1">
        <v>1013.55</v>
      </c>
      <c r="O83" s="1">
        <f t="shared" si="3"/>
        <v>3145.826</v>
      </c>
      <c r="W83" t="s">
        <v>67</v>
      </c>
      <c r="X83" s="1">
        <v>0</v>
      </c>
      <c r="Y83" s="1">
        <v>1000</v>
      </c>
      <c r="Z83" s="27">
        <f>X83/9*12</f>
        <v>0</v>
      </c>
    </row>
    <row r="84" spans="5:26" x14ac:dyDescent="0.25">
      <c r="G84" t="s">
        <v>68</v>
      </c>
      <c r="H84" s="6">
        <v>250</v>
      </c>
      <c r="I84" s="1">
        <v>0</v>
      </c>
      <c r="J84" s="1">
        <v>250</v>
      </c>
      <c r="K84" s="1">
        <v>14.93</v>
      </c>
      <c r="L84" s="1">
        <v>100</v>
      </c>
      <c r="M84" s="1">
        <v>25</v>
      </c>
      <c r="N84" s="1">
        <v>120</v>
      </c>
      <c r="O84" s="1">
        <f t="shared" si="3"/>
        <v>51.986000000000004</v>
      </c>
      <c r="W84" t="s">
        <v>68</v>
      </c>
      <c r="X84" s="1">
        <v>0</v>
      </c>
      <c r="Y84" s="1">
        <v>250</v>
      </c>
      <c r="Z84" s="27">
        <f>X84/9*12</f>
        <v>0</v>
      </c>
    </row>
    <row r="85" spans="5:26" x14ac:dyDescent="0.25">
      <c r="F85" t="s">
        <v>69</v>
      </c>
      <c r="H85" s="6">
        <f>SUM(H59:H84)</f>
        <v>24385</v>
      </c>
      <c r="I85" s="1">
        <v>59494.133333333339</v>
      </c>
      <c r="J85" s="1">
        <v>33045</v>
      </c>
      <c r="K85" s="1">
        <v>34319.660000000003</v>
      </c>
      <c r="L85" s="1">
        <v>29168.99</v>
      </c>
      <c r="M85" s="1">
        <f>SUM(M59:M84)</f>
        <v>46507.439999999995</v>
      </c>
      <c r="N85" s="1">
        <f>SUM(N59:N84)</f>
        <v>33264.620000000003</v>
      </c>
      <c r="O85" s="1">
        <f t="shared" si="3"/>
        <v>40550.968666666668</v>
      </c>
      <c r="V85" t="s">
        <v>69</v>
      </c>
      <c r="X85" s="1">
        <v>53614.84</v>
      </c>
      <c r="Y85" s="1">
        <v>33045</v>
      </c>
      <c r="Z85" s="27">
        <f>SUM(Z59:Z84)</f>
        <v>59494.133333333339</v>
      </c>
    </row>
    <row r="86" spans="5:26" x14ac:dyDescent="0.25">
      <c r="E86" t="s">
        <v>70</v>
      </c>
      <c r="H86" s="37">
        <f>SUM(H52:H57)+H85</f>
        <v>37451.94</v>
      </c>
      <c r="I86" s="40">
        <v>71005.826666666675</v>
      </c>
      <c r="J86" s="40">
        <v>52042.5</v>
      </c>
      <c r="K86" s="40">
        <v>58925.279999999999</v>
      </c>
      <c r="L86" s="1">
        <v>45049.11</v>
      </c>
      <c r="M86" s="1">
        <f>SUM(M52:M57)+M85</f>
        <v>81100.47</v>
      </c>
      <c r="N86" s="1">
        <f>SUM(N52:N57)+N85</f>
        <v>68034.47</v>
      </c>
      <c r="O86" s="1">
        <f t="shared" si="3"/>
        <v>64823.031333333332</v>
      </c>
      <c r="U86" t="s">
        <v>70</v>
      </c>
      <c r="X86" s="1">
        <v>62248.61</v>
      </c>
      <c r="Y86" s="1">
        <v>52042.5</v>
      </c>
      <c r="Z86" s="27">
        <f>SUM(Z52:Z57)+Z85</f>
        <v>71005.826666666675</v>
      </c>
    </row>
    <row r="87" spans="5:26" x14ac:dyDescent="0.25">
      <c r="E87" s="2" t="s">
        <v>71</v>
      </c>
      <c r="H87" s="6"/>
      <c r="L87" s="1"/>
      <c r="M87" s="1"/>
      <c r="N87" s="1"/>
      <c r="U87" t="s">
        <v>71</v>
      </c>
    </row>
    <row r="88" spans="5:26" x14ac:dyDescent="0.25">
      <c r="F88" t="s">
        <v>72</v>
      </c>
      <c r="H88" s="6">
        <v>0</v>
      </c>
      <c r="L88" s="1"/>
      <c r="M88" s="1"/>
      <c r="N88" s="1"/>
    </row>
    <row r="89" spans="5:26" x14ac:dyDescent="0.25">
      <c r="F89" t="s">
        <v>73</v>
      </c>
      <c r="H89" s="6"/>
      <c r="L89" s="1"/>
      <c r="M89" s="1"/>
      <c r="N89" s="1"/>
      <c r="V89" t="s">
        <v>73</v>
      </c>
    </row>
    <row r="90" spans="5:26" x14ac:dyDescent="0.25">
      <c r="G90" t="s">
        <v>74</v>
      </c>
      <c r="H90" s="6">
        <f>(500*12)+(80*15)</f>
        <v>7200</v>
      </c>
      <c r="I90" s="1">
        <v>8086.666666666667</v>
      </c>
      <c r="J90" s="1">
        <v>7000</v>
      </c>
      <c r="K90" s="1">
        <v>7320</v>
      </c>
      <c r="L90" s="1">
        <v>6930</v>
      </c>
      <c r="M90" s="1">
        <v>7170</v>
      </c>
      <c r="N90" s="1">
        <v>6742.5</v>
      </c>
      <c r="O90" s="1">
        <f>(+N90+M90+L90+K90+I90)/5</f>
        <v>7249.833333333333</v>
      </c>
      <c r="W90" t="s">
        <v>74</v>
      </c>
      <c r="X90" s="1">
        <v>6065</v>
      </c>
      <c r="Y90" s="1">
        <v>7000</v>
      </c>
      <c r="Z90" s="27">
        <f>X90/9*12</f>
        <v>8086.666666666667</v>
      </c>
    </row>
    <row r="91" spans="5:26" x14ac:dyDescent="0.25">
      <c r="G91" t="s">
        <v>210</v>
      </c>
      <c r="H91" s="6"/>
      <c r="I91" s="1">
        <v>0</v>
      </c>
      <c r="K91" s="1">
        <v>46.59</v>
      </c>
      <c r="L91" s="1"/>
      <c r="M91" s="1"/>
      <c r="N91" s="1"/>
      <c r="O91" s="1">
        <f>(+N91+M91+L91+K91+I91)/5</f>
        <v>9.3180000000000014</v>
      </c>
      <c r="W91" t="s">
        <v>210</v>
      </c>
      <c r="X91" s="1">
        <v>0</v>
      </c>
      <c r="Z91" s="27">
        <f>X91/9*12</f>
        <v>0</v>
      </c>
    </row>
    <row r="92" spans="5:26" x14ac:dyDescent="0.25">
      <c r="G92" t="s">
        <v>135</v>
      </c>
      <c r="H92" s="6">
        <f>+H90*0.05</f>
        <v>360</v>
      </c>
      <c r="I92" s="1">
        <v>288</v>
      </c>
      <c r="J92" s="1">
        <v>350</v>
      </c>
      <c r="K92" s="1">
        <v>358.5</v>
      </c>
      <c r="L92" s="1">
        <v>342.75</v>
      </c>
      <c r="M92" s="1">
        <v>359.5</v>
      </c>
      <c r="N92" s="1">
        <v>337.13</v>
      </c>
      <c r="O92" s="1">
        <f>(+N92+M92+L92+K92+I92)/5</f>
        <v>337.17600000000004</v>
      </c>
      <c r="W92" t="s">
        <v>135</v>
      </c>
      <c r="X92" s="1">
        <v>216</v>
      </c>
      <c r="Y92" s="1">
        <v>350</v>
      </c>
      <c r="Z92" s="27">
        <f>X92/9*12</f>
        <v>288</v>
      </c>
    </row>
    <row r="93" spans="5:26" x14ac:dyDescent="0.25">
      <c r="G93" t="s">
        <v>75</v>
      </c>
      <c r="H93" s="6">
        <f>+H90*0.0765</f>
        <v>550.79999999999995</v>
      </c>
      <c r="I93" s="1">
        <v>543.14666666666665</v>
      </c>
      <c r="J93" s="1">
        <v>535.5</v>
      </c>
      <c r="K93" s="1">
        <v>548.51</v>
      </c>
      <c r="L93" s="1">
        <v>524.41</v>
      </c>
      <c r="M93" s="1">
        <v>548.51</v>
      </c>
      <c r="N93" s="1">
        <v>515.80999999999995</v>
      </c>
      <c r="O93" s="1">
        <f>(+N93+M93+L93+K93+I93)/5</f>
        <v>536.07733333333329</v>
      </c>
      <c r="W93" t="s">
        <v>75</v>
      </c>
      <c r="X93" s="1">
        <v>407.36</v>
      </c>
      <c r="Y93" s="1">
        <v>535.5</v>
      </c>
      <c r="Z93" s="27">
        <f>X93/9*12</f>
        <v>543.14666666666665</v>
      </c>
    </row>
    <row r="94" spans="5:26" x14ac:dyDescent="0.25">
      <c r="G94" t="s">
        <v>126</v>
      </c>
      <c r="H94" s="6">
        <v>0</v>
      </c>
      <c r="J94" s="1">
        <v>0</v>
      </c>
      <c r="L94" s="1">
        <v>0</v>
      </c>
      <c r="M94" s="1"/>
      <c r="N94" s="1"/>
    </row>
    <row r="95" spans="5:26" x14ac:dyDescent="0.25">
      <c r="F95" t="s">
        <v>76</v>
      </c>
      <c r="H95" s="6">
        <f>SUM(H90:H94)</f>
        <v>8110.8</v>
      </c>
      <c r="I95" s="1">
        <v>8917.8133333333353</v>
      </c>
      <c r="J95" s="1">
        <v>7885.5</v>
      </c>
      <c r="K95" s="1">
        <v>8273.6</v>
      </c>
      <c r="L95" s="1">
        <v>7797.16</v>
      </c>
      <c r="M95" s="1">
        <f>SUM(M90:M94)</f>
        <v>8078.01</v>
      </c>
      <c r="N95" s="1">
        <f>SUM(N90:N94)</f>
        <v>7595.4400000000005</v>
      </c>
      <c r="O95" s="1">
        <f>(+N95+M95+L95+K95+I95)/5</f>
        <v>8132.4046666666663</v>
      </c>
      <c r="V95" t="s">
        <v>76</v>
      </c>
      <c r="X95" s="1">
        <v>6688.36</v>
      </c>
      <c r="Y95" s="1">
        <v>7885.5</v>
      </c>
      <c r="Z95" s="27">
        <f>SUM(Z90:Z94)</f>
        <v>8917.8133333333353</v>
      </c>
    </row>
    <row r="96" spans="5:26" x14ac:dyDescent="0.25">
      <c r="F96" t="s">
        <v>77</v>
      </c>
      <c r="H96" s="6">
        <v>14000</v>
      </c>
      <c r="I96" s="1">
        <v>15395.01</v>
      </c>
      <c r="J96" s="1">
        <v>16250</v>
      </c>
      <c r="K96" s="1">
        <v>17883.009999999998</v>
      </c>
      <c r="L96" s="1">
        <v>19367</v>
      </c>
      <c r="M96" s="1">
        <v>22066.39</v>
      </c>
      <c r="N96" s="1">
        <v>21661</v>
      </c>
      <c r="O96" s="1">
        <f>(+N96+M96+L96+K96+I96)/5</f>
        <v>19274.481999999996</v>
      </c>
      <c r="V96" t="s">
        <v>77</v>
      </c>
      <c r="X96" s="1">
        <v>15395.01</v>
      </c>
      <c r="Y96" s="1">
        <v>16250</v>
      </c>
      <c r="Z96" s="27">
        <f>+X96</f>
        <v>15395.01</v>
      </c>
    </row>
    <row r="97" spans="5:26" x14ac:dyDescent="0.25">
      <c r="F97" t="s">
        <v>127</v>
      </c>
      <c r="H97" s="6">
        <v>0</v>
      </c>
      <c r="J97" s="1">
        <v>0</v>
      </c>
      <c r="L97" s="1">
        <v>0</v>
      </c>
      <c r="M97" s="1"/>
      <c r="N97" s="1"/>
    </row>
    <row r="98" spans="5:26" x14ac:dyDescent="0.25">
      <c r="E98" t="s">
        <v>78</v>
      </c>
      <c r="H98" s="37">
        <f>H97+H96+H95+H88</f>
        <v>22110.799999999999</v>
      </c>
      <c r="I98" s="1">
        <v>24312.823333333334</v>
      </c>
      <c r="J98" s="1">
        <v>24135.5</v>
      </c>
      <c r="K98" s="1">
        <v>26156.61</v>
      </c>
      <c r="L98" s="1">
        <v>27164.16</v>
      </c>
      <c r="M98" s="1">
        <f>M97+M96+M95+M88</f>
        <v>30144.400000000001</v>
      </c>
      <c r="N98" s="1">
        <f>N97+N96+N95+N88</f>
        <v>29256.440000000002</v>
      </c>
      <c r="O98" s="1">
        <f>(+N98+M98+L98+K98+I98)/5</f>
        <v>27406.886666666669</v>
      </c>
      <c r="U98" t="s">
        <v>78</v>
      </c>
      <c r="X98" s="1">
        <v>22083.37</v>
      </c>
      <c r="Y98" s="1">
        <v>24135.5</v>
      </c>
      <c r="Z98" s="27">
        <f>+Z95+Z96</f>
        <v>24312.823333333334</v>
      </c>
    </row>
    <row r="99" spans="5:26" x14ac:dyDescent="0.25">
      <c r="E99" s="2" t="s">
        <v>79</v>
      </c>
      <c r="H99" s="41">
        <v>0</v>
      </c>
      <c r="I99" s="40"/>
      <c r="J99" s="40">
        <v>0</v>
      </c>
      <c r="K99" s="40"/>
      <c r="L99" s="1">
        <v>4856.25</v>
      </c>
      <c r="M99" s="1">
        <v>8318.6</v>
      </c>
      <c r="N99" s="1">
        <v>9223.36</v>
      </c>
      <c r="O99" s="1">
        <f>(+N99+M99+L99+K99+I99)/5</f>
        <v>4479.6419999999998</v>
      </c>
      <c r="U99" t="s">
        <v>79</v>
      </c>
    </row>
    <row r="100" spans="5:26" x14ac:dyDescent="0.25">
      <c r="E100" s="2"/>
      <c r="G100" t="s">
        <v>206</v>
      </c>
      <c r="H100" s="41">
        <v>5000</v>
      </c>
      <c r="I100" s="40">
        <v>8270</v>
      </c>
      <c r="J100" s="40">
        <v>5000</v>
      </c>
      <c r="K100" s="40">
        <v>14682.95</v>
      </c>
      <c r="L100" s="1">
        <v>0</v>
      </c>
      <c r="M100" s="1">
        <v>0</v>
      </c>
      <c r="N100" s="1">
        <v>0</v>
      </c>
      <c r="O100" s="1">
        <f>(+N100+M100+L100+K100+I100)/5</f>
        <v>4590.59</v>
      </c>
      <c r="V100" t="s">
        <v>206</v>
      </c>
      <c r="X100" s="1">
        <v>6202.5</v>
      </c>
      <c r="Y100" s="1">
        <v>5000</v>
      </c>
      <c r="Z100" s="27">
        <f>X100/9*12</f>
        <v>8270</v>
      </c>
    </row>
    <row r="101" spans="5:26" x14ac:dyDescent="0.25">
      <c r="E101" s="2"/>
      <c r="G101" t="s">
        <v>207</v>
      </c>
      <c r="H101" s="41">
        <v>15000</v>
      </c>
      <c r="I101" s="40">
        <v>2645.3333333333335</v>
      </c>
      <c r="J101" s="40">
        <v>15000</v>
      </c>
      <c r="K101" s="40">
        <v>17384.88</v>
      </c>
      <c r="L101" s="1">
        <v>0</v>
      </c>
      <c r="M101" s="1">
        <v>0</v>
      </c>
      <c r="N101" s="1">
        <v>0</v>
      </c>
      <c r="O101" s="1">
        <f>(+N101+M101+L101+K101+I101)/5</f>
        <v>4006.0426666666667</v>
      </c>
      <c r="P101" s="1" t="s">
        <v>217</v>
      </c>
      <c r="V101" t="s">
        <v>207</v>
      </c>
      <c r="X101" s="1">
        <v>1984</v>
      </c>
      <c r="Y101" s="1">
        <v>15000</v>
      </c>
      <c r="Z101" s="27">
        <f>X101/9*12</f>
        <v>2645.3333333333335</v>
      </c>
    </row>
    <row r="102" spans="5:26" x14ac:dyDescent="0.25">
      <c r="E102" t="s">
        <v>220</v>
      </c>
      <c r="H102" s="37">
        <f>SUM(H100:H101)</f>
        <v>20000</v>
      </c>
      <c r="I102" s="40">
        <v>10915.333333333334</v>
      </c>
      <c r="J102" s="40">
        <v>20000</v>
      </c>
      <c r="K102" s="40">
        <v>32067.83</v>
      </c>
      <c r="L102" s="40">
        <f t="shared" ref="L102:N102" si="5">SUM(L99:L101)</f>
        <v>4856.25</v>
      </c>
      <c r="M102" s="40">
        <f t="shared" si="5"/>
        <v>8318.6</v>
      </c>
      <c r="N102" s="40">
        <f t="shared" si="5"/>
        <v>9223.36</v>
      </c>
      <c r="O102" s="1">
        <f>(+N102+M102+L102+K102+I102)/5</f>
        <v>13076.274666666668</v>
      </c>
      <c r="U102" t="s">
        <v>220</v>
      </c>
      <c r="X102" s="1">
        <v>8186.5</v>
      </c>
      <c r="Y102" s="1">
        <v>20000</v>
      </c>
      <c r="Z102" s="27">
        <f>+Z100+Z101</f>
        <v>10915.333333333334</v>
      </c>
    </row>
    <row r="103" spans="5:26" x14ac:dyDescent="0.25">
      <c r="E103" s="2" t="s">
        <v>80</v>
      </c>
      <c r="H103" s="6"/>
      <c r="L103" s="1"/>
      <c r="M103" s="1"/>
      <c r="N103" s="1"/>
      <c r="U103" t="s">
        <v>80</v>
      </c>
    </row>
    <row r="104" spans="5:26" x14ac:dyDescent="0.25">
      <c r="F104" t="s">
        <v>81</v>
      </c>
      <c r="H104" s="6"/>
      <c r="L104" s="1"/>
      <c r="M104" s="1"/>
      <c r="N104" s="1"/>
      <c r="V104" t="s">
        <v>81</v>
      </c>
    </row>
    <row r="105" spans="5:26" x14ac:dyDescent="0.25">
      <c r="G105" t="s">
        <v>82</v>
      </c>
      <c r="H105" s="6">
        <v>28000</v>
      </c>
      <c r="I105" s="1">
        <v>20646.666666666668</v>
      </c>
      <c r="J105" s="1">
        <v>23000</v>
      </c>
      <c r="K105" s="1">
        <v>22862.5</v>
      </c>
      <c r="L105" s="1">
        <v>21925</v>
      </c>
      <c r="M105" s="1">
        <v>15981.5</v>
      </c>
      <c r="N105" s="1">
        <v>16044</v>
      </c>
      <c r="O105" s="1">
        <f t="shared" ref="O105:O115" si="6">(+N105+M105+L105+K105+I105)/5</f>
        <v>19491.933333333334</v>
      </c>
      <c r="P105" s="1" t="s">
        <v>248</v>
      </c>
      <c r="W105" t="s">
        <v>82</v>
      </c>
      <c r="X105" s="1">
        <v>15485</v>
      </c>
      <c r="Y105" s="1">
        <v>23000</v>
      </c>
      <c r="Z105" s="27">
        <f>X105/9*12</f>
        <v>20646.666666666668</v>
      </c>
    </row>
    <row r="106" spans="5:26" x14ac:dyDescent="0.25">
      <c r="G106" t="s">
        <v>128</v>
      </c>
      <c r="H106" s="6">
        <v>1000</v>
      </c>
      <c r="I106" s="1">
        <v>990.04</v>
      </c>
      <c r="J106" s="1">
        <v>1000</v>
      </c>
      <c r="K106" s="1">
        <v>808.81</v>
      </c>
      <c r="L106" s="1">
        <v>1089.3599999999999</v>
      </c>
      <c r="M106" s="1">
        <v>844.59</v>
      </c>
      <c r="N106" s="1">
        <v>714.89</v>
      </c>
      <c r="O106" s="1">
        <f t="shared" si="6"/>
        <v>889.53800000000012</v>
      </c>
      <c r="W106" t="s">
        <v>128</v>
      </c>
      <c r="X106" s="1">
        <v>742.53</v>
      </c>
      <c r="Y106" s="1">
        <v>1000</v>
      </c>
      <c r="Z106" s="27">
        <f>X106/9*12</f>
        <v>990.04</v>
      </c>
    </row>
    <row r="107" spans="5:26" x14ac:dyDescent="0.25">
      <c r="G107" t="s">
        <v>129</v>
      </c>
      <c r="H107" s="6">
        <f>H105*0.075</f>
        <v>2100</v>
      </c>
      <c r="I107" s="1">
        <v>1290.0266666666666</v>
      </c>
      <c r="J107" s="1">
        <v>1725</v>
      </c>
      <c r="K107" s="1">
        <v>1495.34</v>
      </c>
      <c r="L107" s="1">
        <v>1554.39</v>
      </c>
      <c r="M107" s="1">
        <v>4129.37</v>
      </c>
      <c r="N107" s="1">
        <v>1089.24</v>
      </c>
      <c r="O107" s="1">
        <f t="shared" si="6"/>
        <v>1911.6733333333334</v>
      </c>
      <c r="W107" t="s">
        <v>129</v>
      </c>
      <c r="X107" s="1">
        <v>967.52</v>
      </c>
      <c r="Y107" s="1">
        <v>1725</v>
      </c>
      <c r="Z107" s="27">
        <f>X107/9*12</f>
        <v>1290.0266666666666</v>
      </c>
    </row>
    <row r="108" spans="5:26" x14ac:dyDescent="0.25">
      <c r="G108" t="s">
        <v>83</v>
      </c>
      <c r="H108" s="6">
        <f>H105*0.0765</f>
        <v>2142</v>
      </c>
      <c r="I108" s="1">
        <v>1315.8000000000002</v>
      </c>
      <c r="J108" s="1">
        <v>1759.5</v>
      </c>
      <c r="K108" s="1">
        <v>1458.28</v>
      </c>
      <c r="L108" s="1">
        <v>1585.46</v>
      </c>
      <c r="M108" s="1">
        <v>1159.8599999999999</v>
      </c>
      <c r="N108" s="1">
        <v>1227.3599999999999</v>
      </c>
      <c r="O108" s="1">
        <f t="shared" si="6"/>
        <v>1349.3520000000001</v>
      </c>
      <c r="W108" t="s">
        <v>83</v>
      </c>
      <c r="X108" s="1">
        <v>986.85</v>
      </c>
      <c r="Y108" s="1">
        <v>1759.5</v>
      </c>
      <c r="Z108" s="27">
        <f>X108/9*12</f>
        <v>1315.8000000000002</v>
      </c>
    </row>
    <row r="109" spans="5:26" x14ac:dyDescent="0.25">
      <c r="G109" t="s">
        <v>84</v>
      </c>
      <c r="H109" s="6">
        <v>5000</v>
      </c>
      <c r="I109" s="1">
        <v>0</v>
      </c>
      <c r="J109" s="1">
        <v>5000</v>
      </c>
      <c r="K109" s="1">
        <v>341.75</v>
      </c>
      <c r="L109" s="1">
        <v>0</v>
      </c>
      <c r="M109" s="1">
        <v>0</v>
      </c>
      <c r="N109" s="1">
        <v>0</v>
      </c>
      <c r="O109" s="1">
        <f t="shared" si="6"/>
        <v>68.349999999999994</v>
      </c>
      <c r="P109" s="1" t="s">
        <v>205</v>
      </c>
      <c r="W109" t="s">
        <v>84</v>
      </c>
      <c r="X109" s="1">
        <v>0</v>
      </c>
      <c r="Y109" s="1">
        <v>5000</v>
      </c>
      <c r="Z109" s="27">
        <f>X109/9*12</f>
        <v>0</v>
      </c>
    </row>
    <row r="110" spans="5:26" x14ac:dyDescent="0.25">
      <c r="F110" t="s">
        <v>85</v>
      </c>
      <c r="H110" s="6">
        <f>SUM(H105:H109)</f>
        <v>38242</v>
      </c>
      <c r="I110" s="1">
        <v>24242.533333333336</v>
      </c>
      <c r="J110" s="1">
        <v>32484.5</v>
      </c>
      <c r="K110" s="1">
        <v>26966.68</v>
      </c>
      <c r="L110" s="1">
        <v>26154.21</v>
      </c>
      <c r="M110" s="1">
        <f>SUM(M105:M109)</f>
        <v>22115.32</v>
      </c>
      <c r="N110" s="1">
        <f>SUM(N105:N109)</f>
        <v>19075.490000000002</v>
      </c>
      <c r="O110" s="1">
        <f t="shared" si="6"/>
        <v>23710.846666666665</v>
      </c>
      <c r="V110" t="s">
        <v>85</v>
      </c>
      <c r="X110" s="1">
        <v>18181.900000000001</v>
      </c>
      <c r="Y110" s="1">
        <v>32484.5</v>
      </c>
      <c r="Z110" s="27">
        <f>SUM(Z105:Z109)</f>
        <v>24242.533333333336</v>
      </c>
    </row>
    <row r="111" spans="5:26" x14ac:dyDescent="0.25">
      <c r="F111" t="s">
        <v>86</v>
      </c>
      <c r="H111" s="6">
        <v>1500</v>
      </c>
      <c r="I111" s="1">
        <v>1834.08</v>
      </c>
      <c r="J111" s="1">
        <v>900</v>
      </c>
      <c r="K111" s="1">
        <v>719.2</v>
      </c>
      <c r="L111" s="1">
        <v>1437.1</v>
      </c>
      <c r="M111" s="1">
        <v>1030.58</v>
      </c>
      <c r="N111" s="1">
        <v>824.68</v>
      </c>
      <c r="O111" s="1">
        <f t="shared" si="6"/>
        <v>1169.1279999999999</v>
      </c>
      <c r="P111" s="1" t="s">
        <v>216</v>
      </c>
      <c r="V111" t="s">
        <v>86</v>
      </c>
      <c r="X111" s="1">
        <v>1375.56</v>
      </c>
      <c r="Y111" s="1">
        <v>900</v>
      </c>
      <c r="Z111" s="27">
        <f>X111/9*12</f>
        <v>1834.08</v>
      </c>
    </row>
    <row r="112" spans="5:26" x14ac:dyDescent="0.25">
      <c r="F112" t="s">
        <v>130</v>
      </c>
      <c r="H112" s="43">
        <f>CAPITAL!G2</f>
        <v>200000</v>
      </c>
      <c r="I112" s="1">
        <v>0</v>
      </c>
      <c r="J112" s="1">
        <v>0</v>
      </c>
      <c r="K112" s="1">
        <v>235</v>
      </c>
      <c r="L112" s="1">
        <v>0</v>
      </c>
      <c r="M112" s="1">
        <v>0</v>
      </c>
      <c r="N112" s="1">
        <v>0</v>
      </c>
      <c r="O112" s="1">
        <f t="shared" si="6"/>
        <v>47</v>
      </c>
      <c r="P112" s="1" t="s">
        <v>239</v>
      </c>
    </row>
    <row r="113" spans="4:26" x14ac:dyDescent="0.25">
      <c r="E113" t="s">
        <v>87</v>
      </c>
      <c r="H113" s="37">
        <f>H112+H111+H110</f>
        <v>239742</v>
      </c>
      <c r="I113" s="1">
        <v>26076.613333333335</v>
      </c>
      <c r="J113" s="1">
        <v>33384.5</v>
      </c>
      <c r="K113" s="1">
        <v>27920.880000000001</v>
      </c>
      <c r="L113" s="1">
        <v>27591.31</v>
      </c>
      <c r="M113" s="1">
        <f>M112+M111+M110</f>
        <v>23145.9</v>
      </c>
      <c r="N113" s="1">
        <f>N112+N111+N110</f>
        <v>19900.170000000002</v>
      </c>
      <c r="O113" s="1">
        <f t="shared" si="6"/>
        <v>24926.974666666669</v>
      </c>
      <c r="U113" t="s">
        <v>87</v>
      </c>
      <c r="X113" s="1">
        <v>19557.46</v>
      </c>
      <c r="Y113" s="1">
        <v>33384.5</v>
      </c>
      <c r="Z113" s="27">
        <f>+Z110+Z111</f>
        <v>26076.613333333335</v>
      </c>
    </row>
    <row r="114" spans="4:26" x14ac:dyDescent="0.25">
      <c r="E114" t="s">
        <v>88</v>
      </c>
      <c r="H114" s="6">
        <v>0</v>
      </c>
      <c r="J114" s="1">
        <v>0</v>
      </c>
      <c r="K114" s="1">
        <v>0</v>
      </c>
      <c r="L114" s="1">
        <v>0</v>
      </c>
      <c r="M114" s="1"/>
      <c r="N114" s="1"/>
      <c r="O114" s="1">
        <f t="shared" si="6"/>
        <v>0</v>
      </c>
      <c r="U114" t="s">
        <v>88</v>
      </c>
      <c r="X114" s="1">
        <v>0</v>
      </c>
    </row>
    <row r="115" spans="4:26" x14ac:dyDescent="0.25">
      <c r="D115" t="s">
        <v>89</v>
      </c>
      <c r="H115" s="37">
        <f>ROUND(H50+H86+SUM(H98:H101)+SUM(H113:H114),5)</f>
        <v>341538.13</v>
      </c>
      <c r="I115" s="1">
        <v>155081.92666666667</v>
      </c>
      <c r="J115" s="1">
        <v>143318.75</v>
      </c>
      <c r="K115" s="1">
        <v>165028.57999999999</v>
      </c>
      <c r="L115" s="1">
        <v>118261.68</v>
      </c>
      <c r="M115" s="1">
        <f>ROUND(M50+M86+SUM(M98:M99)+SUM(M113:M114),5)</f>
        <v>154770.9</v>
      </c>
      <c r="N115" s="1">
        <f>ROUND(N50+N86+SUM(N98:N99)+SUM(N113:N114),5)</f>
        <v>137350.65</v>
      </c>
      <c r="O115" s="1">
        <f t="shared" si="6"/>
        <v>146098.7473333333</v>
      </c>
      <c r="T115" t="s">
        <v>89</v>
      </c>
      <c r="X115" s="1">
        <v>129169.2</v>
      </c>
      <c r="Y115" s="1">
        <v>143318.75</v>
      </c>
      <c r="Z115" s="27">
        <f>+Z50+Z86+Z98+Z102+Z113</f>
        <v>155081.92666666667</v>
      </c>
    </row>
    <row r="116" spans="4:26" x14ac:dyDescent="0.25">
      <c r="D116" s="2" t="s">
        <v>90</v>
      </c>
      <c r="H116" s="6"/>
      <c r="L116" s="1"/>
      <c r="M116" s="1"/>
      <c r="N116" s="1"/>
      <c r="T116" t="s">
        <v>90</v>
      </c>
    </row>
    <row r="117" spans="4:26" x14ac:dyDescent="0.25">
      <c r="E117" t="s">
        <v>91</v>
      </c>
      <c r="H117" s="6"/>
      <c r="L117" s="1"/>
      <c r="M117" s="1"/>
      <c r="N117" s="1"/>
      <c r="U117" t="s">
        <v>91</v>
      </c>
    </row>
    <row r="118" spans="4:26" x14ac:dyDescent="0.25">
      <c r="F118" t="s">
        <v>92</v>
      </c>
      <c r="H118" s="6">
        <v>90000</v>
      </c>
      <c r="I118" s="1">
        <v>88956</v>
      </c>
      <c r="J118" s="1">
        <v>91500</v>
      </c>
      <c r="K118" s="1">
        <v>88076</v>
      </c>
      <c r="L118" s="1">
        <v>86350</v>
      </c>
      <c r="M118" s="1">
        <v>85500</v>
      </c>
      <c r="N118" s="1">
        <v>85500</v>
      </c>
      <c r="O118" s="1">
        <f t="shared" ref="O118:O123" si="7">(+N118+M118+L118+K118+I118)/5</f>
        <v>86876.4</v>
      </c>
      <c r="V118" t="s">
        <v>92</v>
      </c>
      <c r="X118" s="1">
        <v>44478</v>
      </c>
      <c r="Y118" s="1">
        <v>91500</v>
      </c>
      <c r="Z118">
        <f>+X118*2</f>
        <v>88956</v>
      </c>
    </row>
    <row r="119" spans="4:26" x14ac:dyDescent="0.25">
      <c r="F119" t="s">
        <v>93</v>
      </c>
      <c r="H119" s="6">
        <v>150</v>
      </c>
      <c r="I119" s="1">
        <v>0</v>
      </c>
      <c r="J119" s="1">
        <v>150</v>
      </c>
      <c r="K119" s="1">
        <v>0</v>
      </c>
      <c r="L119" s="1">
        <v>210.2</v>
      </c>
      <c r="M119" s="1">
        <v>149.38</v>
      </c>
      <c r="N119" s="1">
        <v>148.37</v>
      </c>
      <c r="O119" s="1">
        <f t="shared" si="7"/>
        <v>101.59</v>
      </c>
      <c r="V119" t="s">
        <v>93</v>
      </c>
      <c r="X119" s="1">
        <v>0</v>
      </c>
      <c r="Y119" s="1">
        <v>150</v>
      </c>
      <c r="Z119">
        <v>0</v>
      </c>
    </row>
    <row r="120" spans="4:26" x14ac:dyDescent="0.25">
      <c r="E120" t="s">
        <v>94</v>
      </c>
      <c r="H120" s="6">
        <f>SUM(H118:H119)</f>
        <v>90150</v>
      </c>
      <c r="I120" s="1">
        <v>88956</v>
      </c>
      <c r="J120" s="1">
        <v>91650</v>
      </c>
      <c r="K120" s="1">
        <v>88076</v>
      </c>
      <c r="L120" s="1">
        <v>86560.2</v>
      </c>
      <c r="M120" s="1">
        <f>SUM(M118:M119)</f>
        <v>85649.38</v>
      </c>
      <c r="N120" s="1">
        <f>SUM(N118:N119)</f>
        <v>85648.37</v>
      </c>
      <c r="O120" s="1">
        <f t="shared" si="7"/>
        <v>86977.99</v>
      </c>
      <c r="U120" t="s">
        <v>94</v>
      </c>
      <c r="X120" s="1">
        <v>44478</v>
      </c>
      <c r="Y120" s="1">
        <v>91650</v>
      </c>
      <c r="Z120">
        <f>+Z118</f>
        <v>88956</v>
      </c>
    </row>
    <row r="121" spans="4:26" x14ac:dyDescent="0.25">
      <c r="E121" t="s">
        <v>95</v>
      </c>
      <c r="H121" s="6">
        <v>2500</v>
      </c>
      <c r="I121" s="1">
        <v>450</v>
      </c>
      <c r="J121" s="1">
        <v>5000</v>
      </c>
      <c r="K121" s="1">
        <v>165.3</v>
      </c>
      <c r="L121" s="1">
        <v>195.83</v>
      </c>
      <c r="M121" s="1">
        <v>2254.23</v>
      </c>
      <c r="N121" s="1">
        <v>95.48</v>
      </c>
      <c r="O121" s="1">
        <f t="shared" si="7"/>
        <v>632.16800000000001</v>
      </c>
      <c r="P121" s="1" t="s">
        <v>222</v>
      </c>
      <c r="U121" t="s">
        <v>95</v>
      </c>
      <c r="X121" s="1">
        <v>0</v>
      </c>
      <c r="Y121" s="1">
        <v>5000</v>
      </c>
      <c r="Z121">
        <v>450</v>
      </c>
    </row>
    <row r="122" spans="4:26" x14ac:dyDescent="0.25">
      <c r="E122" t="s">
        <v>96</v>
      </c>
      <c r="H122" s="6">
        <v>2000</v>
      </c>
      <c r="I122" s="1">
        <v>0</v>
      </c>
      <c r="J122" s="1">
        <v>4000</v>
      </c>
      <c r="K122" s="1">
        <v>0</v>
      </c>
      <c r="L122" s="1">
        <v>900</v>
      </c>
      <c r="M122" s="1">
        <v>0</v>
      </c>
      <c r="N122" s="1">
        <v>180</v>
      </c>
      <c r="O122" s="1">
        <f t="shared" si="7"/>
        <v>216</v>
      </c>
      <c r="P122" s="1" t="s">
        <v>223</v>
      </c>
      <c r="U122" t="s">
        <v>96</v>
      </c>
      <c r="X122" s="1">
        <v>0</v>
      </c>
      <c r="Y122" s="1">
        <v>4000</v>
      </c>
      <c r="Z122">
        <v>0</v>
      </c>
    </row>
    <row r="123" spans="4:26" x14ac:dyDescent="0.25">
      <c r="D123" t="s">
        <v>97</v>
      </c>
      <c r="H123" s="37">
        <f>H122+H121+H120</f>
        <v>94650</v>
      </c>
      <c r="I123" s="1">
        <v>89406</v>
      </c>
      <c r="J123" s="1">
        <v>100650</v>
      </c>
      <c r="K123" s="1">
        <v>88241.3</v>
      </c>
      <c r="L123" s="1">
        <v>87656.03</v>
      </c>
      <c r="M123" s="1">
        <f>M122+M121+M120</f>
        <v>87903.61</v>
      </c>
      <c r="N123" s="1">
        <f>N122+N121+N120</f>
        <v>85923.849999999991</v>
      </c>
      <c r="O123" s="1">
        <f t="shared" si="7"/>
        <v>87826.157999999996</v>
      </c>
      <c r="T123" t="s">
        <v>97</v>
      </c>
      <c r="X123" s="1">
        <v>44478</v>
      </c>
      <c r="Y123" s="1">
        <v>100650</v>
      </c>
      <c r="Z123">
        <f>SUM(Z120:Z122)</f>
        <v>89406</v>
      </c>
    </row>
    <row r="124" spans="4:26" x14ac:dyDescent="0.25">
      <c r="D124" s="2" t="s">
        <v>98</v>
      </c>
      <c r="H124" s="6"/>
      <c r="L124" s="1"/>
      <c r="M124" s="1"/>
      <c r="N124" s="1"/>
      <c r="T124" t="s">
        <v>98</v>
      </c>
    </row>
    <row r="125" spans="4:26" x14ac:dyDescent="0.25">
      <c r="E125" t="s">
        <v>99</v>
      </c>
      <c r="H125" s="6"/>
      <c r="L125" s="1"/>
      <c r="M125" s="1"/>
      <c r="N125" s="1"/>
      <c r="U125" t="s">
        <v>99</v>
      </c>
    </row>
    <row r="126" spans="4:26" x14ac:dyDescent="0.25">
      <c r="F126" t="s">
        <v>131</v>
      </c>
      <c r="H126" s="6">
        <f>150*12</f>
        <v>1800</v>
      </c>
      <c r="I126" s="1">
        <v>917.87999999999988</v>
      </c>
      <c r="J126" s="1">
        <v>200</v>
      </c>
      <c r="K126" s="1">
        <v>316.2</v>
      </c>
      <c r="L126" s="1">
        <v>344.96</v>
      </c>
      <c r="M126" s="1">
        <v>308.63</v>
      </c>
      <c r="N126" s="1">
        <v>1207.42</v>
      </c>
      <c r="O126" s="1">
        <f t="shared" ref="O126:O139" si="8">(+N126+M126+L126+K126+I126)/5</f>
        <v>619.01800000000003</v>
      </c>
      <c r="V126" t="s">
        <v>131</v>
      </c>
      <c r="X126" s="1">
        <v>688.41</v>
      </c>
      <c r="Y126" s="1">
        <v>200</v>
      </c>
      <c r="Z126" s="27">
        <f t="shared" ref="Z126:Z128" si="9">X126/9*12</f>
        <v>917.87999999999988</v>
      </c>
    </row>
    <row r="127" spans="4:26" x14ac:dyDescent="0.25">
      <c r="F127" t="s">
        <v>132</v>
      </c>
      <c r="H127" s="6">
        <v>0</v>
      </c>
      <c r="I127" s="1">
        <v>34.08</v>
      </c>
      <c r="J127" s="1">
        <v>100</v>
      </c>
      <c r="K127" s="1">
        <v>0</v>
      </c>
      <c r="L127" s="1">
        <v>44.44</v>
      </c>
      <c r="M127" s="1">
        <v>66.680000000000007</v>
      </c>
      <c r="N127" s="1">
        <v>0</v>
      </c>
      <c r="O127" s="1">
        <f t="shared" si="8"/>
        <v>29.04</v>
      </c>
      <c r="V127" t="s">
        <v>132</v>
      </c>
      <c r="X127" s="1">
        <v>25.56</v>
      </c>
      <c r="Y127" s="1">
        <v>100</v>
      </c>
      <c r="Z127" s="27">
        <f t="shared" si="9"/>
        <v>34.08</v>
      </c>
    </row>
    <row r="128" spans="4:26" x14ac:dyDescent="0.25">
      <c r="F128" t="s">
        <v>100</v>
      </c>
      <c r="H128" s="6">
        <v>0</v>
      </c>
      <c r="I128" s="1">
        <v>0</v>
      </c>
      <c r="J128" s="1">
        <v>500</v>
      </c>
      <c r="K128" s="1">
        <v>7952.86</v>
      </c>
      <c r="L128" s="1">
        <v>11122.91</v>
      </c>
      <c r="M128" s="1">
        <v>13516.59</v>
      </c>
      <c r="N128" s="1">
        <v>15218.17</v>
      </c>
      <c r="O128" s="1">
        <f t="shared" si="8"/>
        <v>9562.1059999999998</v>
      </c>
      <c r="V128" t="s">
        <v>100</v>
      </c>
      <c r="X128" s="1">
        <v>0</v>
      </c>
      <c r="Y128" s="1">
        <v>500</v>
      </c>
      <c r="Z128" s="27">
        <f t="shared" si="9"/>
        <v>0</v>
      </c>
    </row>
    <row r="129" spans="6:26" x14ac:dyDescent="0.25">
      <c r="F129" t="s">
        <v>101</v>
      </c>
      <c r="H129" s="6">
        <v>0</v>
      </c>
      <c r="I129" s="1">
        <v>0</v>
      </c>
      <c r="J129" s="1">
        <v>0</v>
      </c>
      <c r="K129" s="1">
        <v>0</v>
      </c>
      <c r="L129" s="1">
        <v>0</v>
      </c>
      <c r="M129" s="1">
        <v>1575.72</v>
      </c>
      <c r="N129" s="1">
        <v>688.82</v>
      </c>
      <c r="O129" s="1">
        <f t="shared" si="8"/>
        <v>452.90800000000002</v>
      </c>
    </row>
    <row r="130" spans="6:26" x14ac:dyDescent="0.25">
      <c r="F130" t="s">
        <v>102</v>
      </c>
      <c r="H130" s="6">
        <v>250</v>
      </c>
      <c r="I130" s="1">
        <v>150</v>
      </c>
      <c r="J130" s="1">
        <v>250</v>
      </c>
      <c r="K130" s="1">
        <v>298.38</v>
      </c>
      <c r="L130" s="1">
        <v>311.14999999999998</v>
      </c>
      <c r="M130" s="1">
        <v>2180.33</v>
      </c>
      <c r="N130" s="1">
        <v>1747.62</v>
      </c>
      <c r="O130" s="1">
        <f t="shared" si="8"/>
        <v>937.49599999999987</v>
      </c>
      <c r="V130" t="s">
        <v>102</v>
      </c>
      <c r="X130" s="1">
        <v>149.11000000000001</v>
      </c>
      <c r="Y130" s="1">
        <v>250</v>
      </c>
      <c r="Z130" s="27">
        <v>150</v>
      </c>
    </row>
    <row r="131" spans="6:26" x14ac:dyDescent="0.25">
      <c r="F131" t="s">
        <v>103</v>
      </c>
      <c r="H131" s="6">
        <v>250</v>
      </c>
      <c r="I131" s="1">
        <v>900</v>
      </c>
      <c r="J131" s="1">
        <v>250</v>
      </c>
      <c r="K131" s="1">
        <v>3572.7</v>
      </c>
      <c r="L131" s="1">
        <v>8360.74</v>
      </c>
      <c r="M131" s="1">
        <v>7060.71</v>
      </c>
      <c r="N131" s="1">
        <v>4972.74</v>
      </c>
      <c r="O131" s="1">
        <f t="shared" si="8"/>
        <v>4973.3780000000006</v>
      </c>
      <c r="V131" t="s">
        <v>103</v>
      </c>
      <c r="X131" s="1">
        <v>878.44</v>
      </c>
      <c r="Y131" s="1">
        <v>250</v>
      </c>
      <c r="Z131" s="27">
        <v>900</v>
      </c>
    </row>
    <row r="132" spans="6:26" x14ac:dyDescent="0.25">
      <c r="F132" t="s">
        <v>133</v>
      </c>
      <c r="H132" s="6">
        <v>0</v>
      </c>
      <c r="J132" s="1">
        <v>0</v>
      </c>
      <c r="K132" s="1">
        <v>0</v>
      </c>
      <c r="L132" s="1">
        <v>523.52</v>
      </c>
      <c r="M132" s="1">
        <v>1171.32</v>
      </c>
      <c r="N132" s="1">
        <v>2057.9</v>
      </c>
      <c r="O132" s="1">
        <f t="shared" si="8"/>
        <v>750.548</v>
      </c>
    </row>
    <row r="133" spans="6:26" x14ac:dyDescent="0.25">
      <c r="F133" t="s">
        <v>104</v>
      </c>
      <c r="H133" s="43">
        <f>+CAPITAL!E10</f>
        <v>65000</v>
      </c>
      <c r="I133" s="1">
        <v>50000</v>
      </c>
      <c r="J133" s="1">
        <v>40000</v>
      </c>
      <c r="K133" s="1">
        <v>42742.1</v>
      </c>
      <c r="L133" s="1">
        <v>20527.62</v>
      </c>
      <c r="M133" s="1">
        <v>87601.53</v>
      </c>
      <c r="N133" s="1">
        <v>32802.49</v>
      </c>
      <c r="O133" s="1">
        <f t="shared" si="8"/>
        <v>46734.748</v>
      </c>
      <c r="P133" s="1" t="s">
        <v>138</v>
      </c>
      <c r="V133" t="s">
        <v>104</v>
      </c>
      <c r="X133" s="1">
        <v>47289.599999999999</v>
      </c>
      <c r="Y133" s="1">
        <v>40000</v>
      </c>
      <c r="Z133" s="27">
        <v>50000</v>
      </c>
    </row>
    <row r="134" spans="6:26" x14ac:dyDescent="0.25">
      <c r="F134" t="s">
        <v>105</v>
      </c>
      <c r="H134" s="6">
        <v>500</v>
      </c>
      <c r="I134" s="1">
        <v>0</v>
      </c>
      <c r="J134" s="1">
        <v>500</v>
      </c>
      <c r="K134" s="1">
        <v>0</v>
      </c>
      <c r="L134" s="1">
        <v>941.91</v>
      </c>
      <c r="M134" s="1">
        <v>1277.5999999999999</v>
      </c>
      <c r="N134" s="1">
        <v>5998.92</v>
      </c>
      <c r="O134" s="1">
        <f t="shared" si="8"/>
        <v>1643.6860000000001</v>
      </c>
      <c r="V134" t="s">
        <v>105</v>
      </c>
      <c r="X134" s="1">
        <v>0</v>
      </c>
      <c r="Y134" s="1">
        <v>500</v>
      </c>
      <c r="Z134" s="27">
        <f>X134/9*12</f>
        <v>0</v>
      </c>
    </row>
    <row r="135" spans="6:26" x14ac:dyDescent="0.25">
      <c r="F135" t="s">
        <v>106</v>
      </c>
      <c r="H135" s="43">
        <f>+CAPITAL!D10</f>
        <v>30000</v>
      </c>
      <c r="I135" s="1">
        <v>1000</v>
      </c>
      <c r="J135" s="1">
        <v>40000</v>
      </c>
      <c r="K135" s="1">
        <v>45308</v>
      </c>
      <c r="L135" s="1">
        <v>8131.25</v>
      </c>
      <c r="M135" s="1">
        <v>29724.36</v>
      </c>
      <c r="N135" s="1">
        <v>88520.43</v>
      </c>
      <c r="O135" s="1">
        <f t="shared" si="8"/>
        <v>34536.807999999997</v>
      </c>
      <c r="P135" s="1" t="s">
        <v>203</v>
      </c>
      <c r="V135" t="s">
        <v>106</v>
      </c>
      <c r="X135" s="1">
        <v>1000</v>
      </c>
      <c r="Y135" s="1">
        <v>40000</v>
      </c>
      <c r="Z135">
        <v>1000</v>
      </c>
    </row>
    <row r="136" spans="6:26" x14ac:dyDescent="0.25">
      <c r="F136" t="s">
        <v>107</v>
      </c>
      <c r="H136" s="6">
        <v>0</v>
      </c>
      <c r="I136" s="1">
        <v>0</v>
      </c>
      <c r="J136" s="1">
        <v>35</v>
      </c>
      <c r="K136" s="1">
        <v>38.5</v>
      </c>
      <c r="L136" s="1">
        <v>0</v>
      </c>
      <c r="M136" s="1">
        <v>57.75</v>
      </c>
      <c r="N136" s="1">
        <v>200</v>
      </c>
      <c r="O136" s="1">
        <f t="shared" si="8"/>
        <v>59.25</v>
      </c>
      <c r="V136" t="s">
        <v>107</v>
      </c>
      <c r="X136" s="1">
        <v>0</v>
      </c>
      <c r="Y136" s="1">
        <v>35</v>
      </c>
    </row>
    <row r="137" spans="6:26" x14ac:dyDescent="0.25">
      <c r="F137" t="s">
        <v>108</v>
      </c>
      <c r="H137" s="6">
        <v>0</v>
      </c>
      <c r="I137" s="1">
        <v>0</v>
      </c>
      <c r="J137" s="1">
        <v>500</v>
      </c>
      <c r="K137" s="1">
        <v>1394</v>
      </c>
      <c r="L137" s="1">
        <v>1394</v>
      </c>
      <c r="M137" s="1">
        <v>1309</v>
      </c>
      <c r="N137" s="1">
        <v>1324</v>
      </c>
      <c r="O137" s="1">
        <f t="shared" si="8"/>
        <v>1084.2</v>
      </c>
      <c r="V137" t="s">
        <v>108</v>
      </c>
      <c r="X137" s="1">
        <v>0</v>
      </c>
      <c r="Y137" s="1">
        <v>500</v>
      </c>
    </row>
    <row r="138" spans="6:26" x14ac:dyDescent="0.25">
      <c r="F138" t="s">
        <v>109</v>
      </c>
      <c r="G138" s="20"/>
      <c r="H138" s="6">
        <v>0</v>
      </c>
      <c r="I138" s="1">
        <v>5102.04</v>
      </c>
      <c r="J138" s="1">
        <v>500</v>
      </c>
      <c r="K138" s="1">
        <v>6490.71</v>
      </c>
      <c r="L138" s="1">
        <v>35311.96</v>
      </c>
      <c r="M138" s="1">
        <v>9505.9699999999993</v>
      </c>
      <c r="N138" s="1">
        <v>11317.65</v>
      </c>
      <c r="O138" s="1">
        <f t="shared" si="8"/>
        <v>13545.666000000001</v>
      </c>
      <c r="V138" t="s">
        <v>109</v>
      </c>
      <c r="X138" s="1">
        <v>5102.04</v>
      </c>
      <c r="Y138" s="1">
        <v>500</v>
      </c>
      <c r="Z138" s="27">
        <f>+X138</f>
        <v>5102.04</v>
      </c>
    </row>
    <row r="139" spans="6:26" x14ac:dyDescent="0.25">
      <c r="F139" t="s">
        <v>110</v>
      </c>
      <c r="H139" s="43">
        <f>+CAPITAL!H10</f>
        <v>500</v>
      </c>
      <c r="I139" s="1">
        <v>0</v>
      </c>
      <c r="J139" s="1">
        <v>1500</v>
      </c>
      <c r="K139" s="1">
        <v>1767.43</v>
      </c>
      <c r="L139" s="1">
        <v>7821.53</v>
      </c>
      <c r="M139" s="1">
        <v>8292.85</v>
      </c>
      <c r="N139" s="1">
        <v>11948.83</v>
      </c>
      <c r="O139" s="1">
        <f t="shared" si="8"/>
        <v>5966.1279999999997</v>
      </c>
      <c r="V139" t="s">
        <v>110</v>
      </c>
      <c r="X139" s="1">
        <v>0</v>
      </c>
      <c r="Y139" s="1">
        <v>1500</v>
      </c>
      <c r="Z139">
        <v>0</v>
      </c>
    </row>
    <row r="140" spans="6:26" x14ac:dyDescent="0.25">
      <c r="F140" t="s">
        <v>111</v>
      </c>
      <c r="H140" s="6"/>
      <c r="L140" s="1"/>
      <c r="M140" s="1"/>
      <c r="N140" s="1"/>
      <c r="V140" t="s">
        <v>111</v>
      </c>
    </row>
    <row r="141" spans="6:26" x14ac:dyDescent="0.25">
      <c r="G141" t="s">
        <v>112</v>
      </c>
      <c r="H141" s="6">
        <f>30*25*12</f>
        <v>9000</v>
      </c>
      <c r="I141" s="1">
        <v>15150</v>
      </c>
      <c r="J141" s="1">
        <v>20000</v>
      </c>
      <c r="K141" s="1">
        <v>27562.53</v>
      </c>
      <c r="L141" s="1">
        <v>59780.32</v>
      </c>
      <c r="M141" s="1">
        <v>73029.39</v>
      </c>
      <c r="N141" s="1">
        <v>81221.03</v>
      </c>
      <c r="O141" s="1">
        <f t="shared" ref="O141:O148" si="10">(+N141+M141+L141+K141+I141)/5</f>
        <v>51348.653999999995</v>
      </c>
      <c r="P141" s="42" t="s">
        <v>219</v>
      </c>
      <c r="W141" t="s">
        <v>112</v>
      </c>
      <c r="X141" s="1">
        <v>11362.5</v>
      </c>
      <c r="Y141" s="1">
        <v>20000</v>
      </c>
      <c r="Z141" s="27">
        <f>X141/9*12</f>
        <v>15150</v>
      </c>
    </row>
    <row r="142" spans="6:26" x14ac:dyDescent="0.25">
      <c r="G142" t="s">
        <v>197</v>
      </c>
      <c r="H142" s="49">
        <f>CONTRACTORS!B9</f>
        <v>133500</v>
      </c>
      <c r="I142" s="1">
        <v>575000</v>
      </c>
      <c r="J142" s="1">
        <v>165000</v>
      </c>
      <c r="K142" s="1">
        <v>0</v>
      </c>
      <c r="L142" s="1">
        <v>0</v>
      </c>
      <c r="M142" s="1">
        <v>0</v>
      </c>
      <c r="N142" s="1">
        <v>0</v>
      </c>
      <c r="O142" s="1">
        <f t="shared" si="10"/>
        <v>115000</v>
      </c>
      <c r="P142" s="1" t="s">
        <v>215</v>
      </c>
      <c r="W142" t="s">
        <v>197</v>
      </c>
      <c r="X142" s="1">
        <v>555658</v>
      </c>
      <c r="Y142" s="1">
        <v>165000</v>
      </c>
      <c r="Z142" s="27">
        <v>575000</v>
      </c>
    </row>
    <row r="143" spans="6:26" x14ac:dyDescent="0.25">
      <c r="G143" t="s">
        <v>191</v>
      </c>
      <c r="H143" s="6">
        <v>0</v>
      </c>
      <c r="I143" s="1">
        <v>0</v>
      </c>
      <c r="J143" s="1">
        <v>0</v>
      </c>
      <c r="K143" s="1">
        <v>411.75</v>
      </c>
      <c r="L143" s="1">
        <v>964.5</v>
      </c>
      <c r="M143" s="1">
        <v>1624.75</v>
      </c>
      <c r="N143" s="1">
        <v>0</v>
      </c>
      <c r="O143" s="1">
        <f t="shared" si="10"/>
        <v>600.20000000000005</v>
      </c>
    </row>
    <row r="144" spans="6:26" x14ac:dyDescent="0.25">
      <c r="G144" t="s">
        <v>113</v>
      </c>
      <c r="H144" s="6">
        <f>15000*0.075</f>
        <v>1125</v>
      </c>
      <c r="I144" s="1">
        <v>544.02666666666664</v>
      </c>
      <c r="J144" s="1">
        <v>1125</v>
      </c>
      <c r="K144" s="1">
        <v>2034.69</v>
      </c>
      <c r="L144" s="1">
        <v>4483.5</v>
      </c>
      <c r="M144" s="1">
        <v>6605.25</v>
      </c>
      <c r="N144" s="1">
        <v>5415.72</v>
      </c>
      <c r="O144" s="1">
        <f t="shared" si="10"/>
        <v>3816.6373333333336</v>
      </c>
      <c r="W144" t="s">
        <v>113</v>
      </c>
      <c r="X144" s="1">
        <v>408.02</v>
      </c>
      <c r="Y144" s="1">
        <v>1125</v>
      </c>
      <c r="Z144" s="27">
        <f>X144/9*12</f>
        <v>544.02666666666664</v>
      </c>
    </row>
    <row r="145" spans="2:26" x14ac:dyDescent="0.25">
      <c r="G145" t="s">
        <v>114</v>
      </c>
      <c r="H145" s="6">
        <f>15000*0.0765</f>
        <v>1147.5</v>
      </c>
      <c r="I145" s="1">
        <v>1246.7066666666665</v>
      </c>
      <c r="J145" s="1">
        <v>1147.5</v>
      </c>
      <c r="K145" s="1">
        <v>2032.93</v>
      </c>
      <c r="L145" s="1">
        <v>4396.1099999999997</v>
      </c>
      <c r="M145" s="1">
        <v>5379.24</v>
      </c>
      <c r="N145" s="1">
        <v>5987.53</v>
      </c>
      <c r="O145" s="1">
        <f t="shared" si="10"/>
        <v>3808.5033333333331</v>
      </c>
      <c r="W145" t="s">
        <v>114</v>
      </c>
      <c r="X145" s="1">
        <v>935.03</v>
      </c>
      <c r="Y145" s="1">
        <v>1147.5</v>
      </c>
      <c r="Z145" s="27">
        <f>X145/9*12</f>
        <v>1246.7066666666665</v>
      </c>
    </row>
    <row r="146" spans="2:26" x14ac:dyDescent="0.25">
      <c r="G146" t="s">
        <v>196</v>
      </c>
      <c r="H146" s="6">
        <v>0</v>
      </c>
      <c r="I146" s="1">
        <v>0</v>
      </c>
      <c r="J146" s="1">
        <v>0</v>
      </c>
      <c r="K146" s="1">
        <v>988.2</v>
      </c>
      <c r="L146" s="1">
        <v>2314.8000000000002</v>
      </c>
      <c r="M146" s="1">
        <v>2712.6</v>
      </c>
      <c r="N146" s="1">
        <v>2952.6</v>
      </c>
      <c r="O146" s="1">
        <f t="shared" si="10"/>
        <v>1793.64</v>
      </c>
    </row>
    <row r="147" spans="2:26" x14ac:dyDescent="0.25">
      <c r="G147" t="s">
        <v>115</v>
      </c>
      <c r="H147" s="6">
        <v>0</v>
      </c>
      <c r="I147" s="1">
        <v>0</v>
      </c>
      <c r="J147" s="1">
        <v>0</v>
      </c>
      <c r="K147" s="1">
        <v>20730</v>
      </c>
      <c r="L147" s="1">
        <v>33120</v>
      </c>
      <c r="M147" s="1">
        <v>31065</v>
      </c>
      <c r="N147" s="1">
        <v>30240</v>
      </c>
      <c r="O147" s="1">
        <f t="shared" si="10"/>
        <v>23031</v>
      </c>
    </row>
    <row r="148" spans="2:26" x14ac:dyDescent="0.25">
      <c r="G148" t="s">
        <v>116</v>
      </c>
      <c r="H148" s="6">
        <v>1000</v>
      </c>
      <c r="I148" s="1">
        <v>0</v>
      </c>
      <c r="J148" s="1">
        <v>1000</v>
      </c>
      <c r="K148" s="1">
        <v>30925</v>
      </c>
      <c r="L148" s="1">
        <v>0</v>
      </c>
      <c r="M148" s="1">
        <v>168.79</v>
      </c>
      <c r="N148" s="1">
        <v>363.99</v>
      </c>
      <c r="O148" s="1">
        <f t="shared" si="10"/>
        <v>6291.5559999999996</v>
      </c>
      <c r="W148" t="s">
        <v>116</v>
      </c>
      <c r="X148" s="1">
        <v>0</v>
      </c>
      <c r="Y148" s="1">
        <v>1000</v>
      </c>
      <c r="Z148" s="27">
        <f>X148/9*12</f>
        <v>0</v>
      </c>
    </row>
    <row r="149" spans="2:26" x14ac:dyDescent="0.25">
      <c r="F149" t="s">
        <v>117</v>
      </c>
      <c r="H149" s="6">
        <f>SUM(H141:H148)</f>
        <v>145772.5</v>
      </c>
      <c r="I149" s="1">
        <v>591940.73333333328</v>
      </c>
      <c r="J149" s="1">
        <v>188272.5</v>
      </c>
      <c r="K149" s="1">
        <v>84685.1</v>
      </c>
      <c r="L149" s="1">
        <v>105059.23</v>
      </c>
      <c r="M149" s="1">
        <f>SUM(M141:M148)</f>
        <v>120585.02</v>
      </c>
      <c r="N149" s="1">
        <f>SUM(N141:N148)</f>
        <v>126180.87000000001</v>
      </c>
      <c r="O149" s="1">
        <f t="shared" ref="O149:O154" si="11">(+N149+M149+L149+K149+I149)/5</f>
        <v>205690.19066666666</v>
      </c>
      <c r="V149" t="s">
        <v>117</v>
      </c>
      <c r="X149" s="1">
        <v>572615.05000000005</v>
      </c>
      <c r="Y149" s="1">
        <v>188272.5</v>
      </c>
      <c r="Z149" s="27">
        <f>SUM(Z141:Z148)</f>
        <v>591940.73333333328</v>
      </c>
    </row>
    <row r="150" spans="2:26" x14ac:dyDescent="0.25">
      <c r="F150" t="s">
        <v>118</v>
      </c>
      <c r="H150" s="6">
        <v>0</v>
      </c>
      <c r="I150" s="1">
        <v>0</v>
      </c>
      <c r="J150" s="1">
        <v>0</v>
      </c>
      <c r="K150" s="1">
        <v>0</v>
      </c>
      <c r="L150" s="1">
        <v>0</v>
      </c>
      <c r="M150" s="1">
        <v>75</v>
      </c>
      <c r="N150" s="1">
        <v>1744.01</v>
      </c>
      <c r="O150" s="1">
        <f t="shared" si="11"/>
        <v>363.80200000000002</v>
      </c>
    </row>
    <row r="151" spans="2:26" x14ac:dyDescent="0.25">
      <c r="F151" t="s">
        <v>119</v>
      </c>
      <c r="H151" s="43">
        <f>+CAPITAL!C10</f>
        <v>257500</v>
      </c>
      <c r="I151" s="1">
        <v>225000</v>
      </c>
      <c r="J151" s="1">
        <v>140000</v>
      </c>
      <c r="K151" s="1">
        <v>28980</v>
      </c>
      <c r="L151" s="1">
        <v>540961.27</v>
      </c>
      <c r="M151" s="1">
        <v>406983</v>
      </c>
      <c r="N151" s="1">
        <v>362735.33</v>
      </c>
      <c r="O151" s="1">
        <f t="shared" si="11"/>
        <v>312931.92000000004</v>
      </c>
      <c r="V151" t="s">
        <v>119</v>
      </c>
      <c r="X151" s="1">
        <v>198712.5</v>
      </c>
      <c r="Y151" s="1">
        <v>140000</v>
      </c>
      <c r="Z151" s="1">
        <v>225000</v>
      </c>
    </row>
    <row r="152" spans="2:26" x14ac:dyDescent="0.25">
      <c r="E152" t="s">
        <v>120</v>
      </c>
      <c r="H152" s="6">
        <f>ROUND(SUM(H125:H139)+SUM(H149:H151),5)</f>
        <v>501572.5</v>
      </c>
      <c r="I152" s="1">
        <v>875044.73333333328</v>
      </c>
      <c r="J152" s="1">
        <v>412607.5</v>
      </c>
      <c r="K152" s="1">
        <v>223545.98</v>
      </c>
      <c r="L152" s="1">
        <v>740856.49</v>
      </c>
      <c r="M152" s="1">
        <f>ROUND(SUM(M125:M139)+SUM(M149:M151),5)</f>
        <v>691292.06</v>
      </c>
      <c r="N152" s="1">
        <f>ROUND(SUM(N125:N139)+SUM(N149:N151),5)</f>
        <v>668665.19999999995</v>
      </c>
      <c r="O152" s="1">
        <f t="shared" si="11"/>
        <v>639880.89266666665</v>
      </c>
      <c r="U152" t="s">
        <v>120</v>
      </c>
      <c r="X152" s="1">
        <v>599685.16</v>
      </c>
      <c r="Y152" s="1">
        <v>412607.5</v>
      </c>
      <c r="Z152" s="27">
        <f>SUM(Z126:Z139)+Z149+Z151</f>
        <v>875044.73333333328</v>
      </c>
    </row>
    <row r="153" spans="2:26" x14ac:dyDescent="0.25">
      <c r="E153" t="s">
        <v>121</v>
      </c>
      <c r="H153" s="6">
        <v>180</v>
      </c>
      <c r="I153" s="1">
        <v>0</v>
      </c>
      <c r="J153" s="1">
        <v>180</v>
      </c>
      <c r="K153" s="1">
        <v>245.7</v>
      </c>
      <c r="L153" s="1">
        <v>198.9</v>
      </c>
      <c r="M153" s="1">
        <v>182.52</v>
      </c>
      <c r="N153" s="1">
        <v>182.52</v>
      </c>
      <c r="O153" s="1">
        <f t="shared" si="11"/>
        <v>161.92800000000003</v>
      </c>
      <c r="U153" t="s">
        <v>121</v>
      </c>
      <c r="X153" s="1">
        <v>0</v>
      </c>
      <c r="Y153" s="1">
        <v>180</v>
      </c>
      <c r="Z153">
        <v>0</v>
      </c>
    </row>
    <row r="154" spans="2:26" x14ac:dyDescent="0.25">
      <c r="D154" t="s">
        <v>122</v>
      </c>
      <c r="H154" s="37">
        <f>ROUND(H124+SUM(H152:H153),5)</f>
        <v>501752.5</v>
      </c>
      <c r="I154" s="3">
        <v>875044.73333333328</v>
      </c>
      <c r="J154" s="3">
        <v>412787.5</v>
      </c>
      <c r="K154" s="3">
        <v>223791.68</v>
      </c>
      <c r="L154" s="3">
        <v>741055.39</v>
      </c>
      <c r="M154" s="1">
        <f>ROUND(M124+SUM(M152:M153),5)</f>
        <v>691474.58</v>
      </c>
      <c r="N154" s="1">
        <f>ROUND(N124+SUM(N152:N153),5)</f>
        <v>668847.72</v>
      </c>
      <c r="O154" s="1">
        <f t="shared" si="11"/>
        <v>640042.82066666672</v>
      </c>
      <c r="T154" t="s">
        <v>122</v>
      </c>
      <c r="X154" s="1">
        <v>599685.16</v>
      </c>
      <c r="Y154" s="1">
        <v>412787.5</v>
      </c>
      <c r="Z154" s="27">
        <f>+Z152+Z153</f>
        <v>875044.73333333328</v>
      </c>
    </row>
    <row r="155" spans="2:26" x14ac:dyDescent="0.25">
      <c r="H155" s="6"/>
      <c r="L155" s="1"/>
      <c r="M155" s="1"/>
      <c r="N155" s="1"/>
    </row>
    <row r="156" spans="2:26" x14ac:dyDescent="0.25">
      <c r="C156" s="2" t="s">
        <v>123</v>
      </c>
      <c r="H156" s="44">
        <f>ROUND(H115+H123+H154,5)</f>
        <v>937940.63</v>
      </c>
      <c r="I156" s="1">
        <v>1119532.6599999999</v>
      </c>
      <c r="J156" s="1">
        <v>656756.25</v>
      </c>
      <c r="K156" s="1">
        <v>477061.56</v>
      </c>
      <c r="L156" s="1">
        <v>946973.1</v>
      </c>
      <c r="M156" s="1">
        <f>ROUND(M115+M123+M154,5)</f>
        <v>934149.09</v>
      </c>
      <c r="N156" s="1">
        <f>ROUND(N115+N123+N154,5)</f>
        <v>892122.22</v>
      </c>
      <c r="O156" s="1">
        <f t="shared" ref="O156:O157" si="12">(+N156+M156+L156+K156+I156)/5</f>
        <v>873967.72600000002</v>
      </c>
      <c r="S156" t="s">
        <v>123</v>
      </c>
      <c r="X156" s="1">
        <v>773332.36</v>
      </c>
      <c r="Y156" s="1">
        <v>656756.25</v>
      </c>
      <c r="Z156" s="27">
        <f>+Z115+Z123+Z154</f>
        <v>1119532.6599999999</v>
      </c>
    </row>
    <row r="157" spans="2:26" x14ac:dyDescent="0.25">
      <c r="B157" s="2" t="s">
        <v>147</v>
      </c>
      <c r="H157" s="6">
        <f>ROUND(H7+H40-H156,5)</f>
        <v>-87334.63</v>
      </c>
      <c r="I157" s="1">
        <f>ROUND(I7+I40-I156,5)</f>
        <v>-359749.21</v>
      </c>
      <c r="J157" s="1">
        <v>-77456.25</v>
      </c>
      <c r="K157" s="1">
        <v>131762.32</v>
      </c>
      <c r="L157" s="1">
        <v>-346379.62</v>
      </c>
      <c r="M157" s="1">
        <f>ROUND(M7+M40-M156,5)</f>
        <v>-389403.51</v>
      </c>
      <c r="N157" s="1">
        <f>ROUND(N7+N40-N156,5)</f>
        <v>-376741.44</v>
      </c>
      <c r="O157" s="1">
        <f t="shared" si="12"/>
        <v>-268102.29199999996</v>
      </c>
      <c r="R157" t="s">
        <v>231</v>
      </c>
      <c r="X157" s="1">
        <v>-189045.02</v>
      </c>
      <c r="Y157" s="1">
        <v>-77456.25</v>
      </c>
    </row>
    <row r="158" spans="2:26" x14ac:dyDescent="0.25">
      <c r="H158" s="6"/>
      <c r="L158" s="1"/>
      <c r="M158" s="1"/>
      <c r="N158" s="1">
        <v>0</v>
      </c>
    </row>
    <row r="159" spans="2:26" x14ac:dyDescent="0.25">
      <c r="F159" s="2" t="s">
        <v>143</v>
      </c>
      <c r="H159" s="6"/>
      <c r="L159" s="1"/>
      <c r="M159" s="1"/>
      <c r="N159" s="1"/>
    </row>
    <row r="160" spans="2:26" x14ac:dyDescent="0.25">
      <c r="F160" s="2"/>
      <c r="H160" s="6"/>
      <c r="L160" s="39"/>
      <c r="M160" s="1"/>
      <c r="N160" s="1"/>
    </row>
    <row r="161" spans="7:14" x14ac:dyDescent="0.25">
      <c r="G161" t="s">
        <v>144</v>
      </c>
      <c r="H161" s="6">
        <f>H11</f>
        <v>400000</v>
      </c>
      <c r="I161" s="1">
        <f>I11</f>
        <v>398793.52999999997</v>
      </c>
      <c r="J161" s="1">
        <v>405000</v>
      </c>
      <c r="L161" s="1">
        <v>405000</v>
      </c>
      <c r="M161" s="1"/>
      <c r="N161" s="1"/>
    </row>
    <row r="162" spans="7:14" x14ac:dyDescent="0.25">
      <c r="G162" t="s">
        <v>145</v>
      </c>
      <c r="H162" s="6">
        <f>H40-H11</f>
        <v>450606</v>
      </c>
      <c r="I162" s="1">
        <f>I40-I11</f>
        <v>360989.92</v>
      </c>
      <c r="J162" s="1">
        <v>174300</v>
      </c>
      <c r="L162" s="1">
        <v>68300</v>
      </c>
      <c r="M162" s="1"/>
      <c r="N162" s="1"/>
    </row>
    <row r="163" spans="7:14" x14ac:dyDescent="0.25">
      <c r="H163" s="6"/>
      <c r="L163" s="1"/>
      <c r="M163" s="1"/>
      <c r="N163" s="1"/>
    </row>
    <row r="164" spans="7:14" x14ac:dyDescent="0.25">
      <c r="G164" t="s">
        <v>193</v>
      </c>
      <c r="H164" s="6">
        <f>H133+H135+H139+H150+H151+H112</f>
        <v>553000</v>
      </c>
      <c r="I164" s="1">
        <f>I133+I135+I139+I150+I151</f>
        <v>276000</v>
      </c>
      <c r="J164" s="1">
        <v>221500</v>
      </c>
      <c r="L164" s="1">
        <v>688589.8</v>
      </c>
      <c r="M164" s="1"/>
      <c r="N164" s="1"/>
    </row>
    <row r="165" spans="7:14" x14ac:dyDescent="0.25">
      <c r="G165" t="s">
        <v>169</v>
      </c>
      <c r="H165" s="6">
        <f>H149</f>
        <v>145772.5</v>
      </c>
      <c r="I165" s="1">
        <f>I154-I164</f>
        <v>599044.73333333328</v>
      </c>
      <c r="J165" s="1">
        <v>191287.5</v>
      </c>
      <c r="L165" s="1">
        <v>171960</v>
      </c>
      <c r="M165" s="1"/>
      <c r="N165" s="1"/>
    </row>
    <row r="166" spans="7:14" x14ac:dyDescent="0.25">
      <c r="G166" t="s">
        <v>168</v>
      </c>
      <c r="H166" s="6">
        <f>H156-H164-H165</f>
        <v>239168.13</v>
      </c>
      <c r="I166" s="1">
        <f>I156-I164-I165</f>
        <v>244487.92666666664</v>
      </c>
      <c r="J166" s="1">
        <v>243968.75</v>
      </c>
      <c r="L166" s="1">
        <v>227624.25</v>
      </c>
      <c r="M166" s="1"/>
      <c r="N166" s="1"/>
    </row>
    <row r="167" spans="7:14" x14ac:dyDescent="0.25">
      <c r="L167" s="1"/>
      <c r="M167" s="1"/>
      <c r="N167" s="1"/>
    </row>
    <row r="168" spans="7:14" x14ac:dyDescent="0.25">
      <c r="G168" t="s">
        <v>221</v>
      </c>
      <c r="L168" s="1"/>
      <c r="M168" s="1"/>
      <c r="N168" s="1"/>
    </row>
    <row r="169" spans="7:14" x14ac:dyDescent="0.25">
      <c r="G169" t="s">
        <v>254</v>
      </c>
    </row>
  </sheetData>
  <mergeCells count="1">
    <mergeCell ref="A1:O1"/>
  </mergeCells>
  <pageMargins left="0.25" right="0.25" top="0.25" bottom="0.25" header="0.3" footer="0.3"/>
  <pageSetup scale="82" fitToHeight="0" orientation="landscape" horizontalDpi="4294967293" r:id="rId1"/>
  <ignoredErrors>
    <ignoredError sqref="M3 N3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D19F0B-1B46-41A6-8F9F-BE124F9563C0}">
  <sheetPr>
    <pageSetUpPr fitToPage="1"/>
  </sheetPr>
  <dimension ref="A1:J49"/>
  <sheetViews>
    <sheetView zoomScale="145" zoomScaleNormal="145" workbookViewId="0">
      <pane xSplit="1" ySplit="8" topLeftCell="B9" activePane="bottomRight" state="frozen"/>
      <selection pane="topRight" activeCell="B1" sqref="B1"/>
      <selection pane="bottomLeft" activeCell="A10" sqref="A10"/>
      <selection pane="bottomRight" activeCell="A47" sqref="A47"/>
    </sheetView>
  </sheetViews>
  <sheetFormatPr defaultRowHeight="15" x14ac:dyDescent="0.25"/>
  <cols>
    <col min="1" max="1" width="5.42578125" bestFit="1" customWidth="1"/>
    <col min="2" max="2" width="30.28515625" bestFit="1" customWidth="1"/>
    <col min="3" max="3" width="12.28515625" bestFit="1" customWidth="1"/>
    <col min="4" max="6" width="11.7109375" bestFit="1" customWidth="1"/>
    <col min="7" max="7" width="12" bestFit="1" customWidth="1"/>
    <col min="8" max="8" width="11.7109375" customWidth="1"/>
    <col min="9" max="9" width="14.28515625" style="1" bestFit="1" customWidth="1"/>
    <col min="10" max="10" width="59.5703125" customWidth="1"/>
  </cols>
  <sheetData>
    <row r="1" spans="1:10" ht="26.25" x14ac:dyDescent="0.4">
      <c r="B1" s="24" t="s">
        <v>167</v>
      </c>
      <c r="C1" s="24"/>
      <c r="D1" s="24"/>
      <c r="E1" s="24"/>
      <c r="F1" s="24"/>
      <c r="G1" s="24"/>
      <c r="H1" s="24"/>
      <c r="I1" s="21"/>
      <c r="J1" s="24"/>
    </row>
    <row r="2" spans="1:10" x14ac:dyDescent="0.25">
      <c r="B2" s="25">
        <v>2024</v>
      </c>
      <c r="C2" s="27">
        <f t="shared" ref="C2:H2" si="0">+C10</f>
        <v>257500</v>
      </c>
      <c r="D2" s="27">
        <f t="shared" si="0"/>
        <v>30000</v>
      </c>
      <c r="E2" s="27">
        <f t="shared" si="0"/>
        <v>65000</v>
      </c>
      <c r="F2" s="27">
        <f t="shared" si="0"/>
        <v>0</v>
      </c>
      <c r="G2" s="27">
        <f t="shared" si="0"/>
        <v>200000</v>
      </c>
      <c r="H2" s="27">
        <f t="shared" si="0"/>
        <v>500</v>
      </c>
      <c r="I2" s="34">
        <f>SUM(C2:H2)</f>
        <v>553000</v>
      </c>
    </row>
    <row r="3" spans="1:10" x14ac:dyDescent="0.25">
      <c r="B3" s="25">
        <f>+B2+1</f>
        <v>2025</v>
      </c>
      <c r="C3" s="27">
        <f t="shared" ref="C3:H3" si="1">+C25</f>
        <v>17500</v>
      </c>
      <c r="D3" s="27">
        <f t="shared" si="1"/>
        <v>10000</v>
      </c>
      <c r="E3" s="27">
        <f t="shared" si="1"/>
        <v>75000</v>
      </c>
      <c r="F3" s="27">
        <f t="shared" si="1"/>
        <v>0</v>
      </c>
      <c r="G3" s="27">
        <f t="shared" si="1"/>
        <v>0</v>
      </c>
      <c r="H3" s="27">
        <f t="shared" si="1"/>
        <v>1500</v>
      </c>
      <c r="I3" s="34">
        <f>SUM(C3:H3)</f>
        <v>104000</v>
      </c>
    </row>
    <row r="4" spans="1:10" x14ac:dyDescent="0.25">
      <c r="B4" s="25">
        <f>+B3+1</f>
        <v>2026</v>
      </c>
      <c r="C4" s="27">
        <f t="shared" ref="C4:H4" si="2">+C34</f>
        <v>17500</v>
      </c>
      <c r="D4" s="27">
        <f t="shared" si="2"/>
        <v>10000</v>
      </c>
      <c r="E4" s="27">
        <f t="shared" si="2"/>
        <v>75000</v>
      </c>
      <c r="F4" s="27">
        <f t="shared" si="2"/>
        <v>0</v>
      </c>
      <c r="G4" s="27">
        <f t="shared" si="2"/>
        <v>0</v>
      </c>
      <c r="H4" s="27">
        <f t="shared" si="2"/>
        <v>1500</v>
      </c>
      <c r="I4" s="34">
        <f>SUM(C4:H4)</f>
        <v>104000</v>
      </c>
    </row>
    <row r="5" spans="1:10" x14ac:dyDescent="0.25">
      <c r="B5" s="25">
        <f>+B4+1</f>
        <v>2027</v>
      </c>
      <c r="C5" s="27">
        <f t="shared" ref="C5:H5" si="3">+C43</f>
        <v>17500</v>
      </c>
      <c r="D5" s="27">
        <f t="shared" si="3"/>
        <v>10000</v>
      </c>
      <c r="E5" s="27">
        <f t="shared" si="3"/>
        <v>75000</v>
      </c>
      <c r="F5" s="27">
        <f t="shared" si="3"/>
        <v>0</v>
      </c>
      <c r="G5" s="27">
        <f t="shared" si="3"/>
        <v>0</v>
      </c>
      <c r="H5" s="27">
        <f t="shared" si="3"/>
        <v>1500</v>
      </c>
      <c r="I5" s="34">
        <f>SUM(C5:H5)</f>
        <v>104000</v>
      </c>
    </row>
    <row r="6" spans="1:10" x14ac:dyDescent="0.25">
      <c r="B6" s="25"/>
      <c r="C6" s="27"/>
      <c r="D6" s="27"/>
      <c r="E6" s="27"/>
      <c r="F6" s="27"/>
      <c r="G6" s="27"/>
      <c r="H6" s="27"/>
    </row>
    <row r="7" spans="1:10" x14ac:dyDescent="0.25">
      <c r="B7" s="25"/>
      <c r="C7" s="32" t="s">
        <v>175</v>
      </c>
      <c r="D7" s="32" t="s">
        <v>176</v>
      </c>
      <c r="E7" s="32" t="s">
        <v>178</v>
      </c>
      <c r="F7" s="32" t="s">
        <v>180</v>
      </c>
      <c r="G7" s="32" t="s">
        <v>182</v>
      </c>
      <c r="H7" s="33" t="s">
        <v>184</v>
      </c>
    </row>
    <row r="8" spans="1:10" ht="69.75" customHeight="1" x14ac:dyDescent="0.25">
      <c r="B8" s="28" t="s">
        <v>172</v>
      </c>
      <c r="C8" s="29" t="s">
        <v>174</v>
      </c>
      <c r="D8" s="29" t="s">
        <v>190</v>
      </c>
      <c r="E8" s="29" t="s">
        <v>177</v>
      </c>
      <c r="F8" s="29" t="s">
        <v>179</v>
      </c>
      <c r="G8" s="29" t="s">
        <v>181</v>
      </c>
      <c r="H8" s="29" t="s">
        <v>183</v>
      </c>
      <c r="I8" s="3" t="s">
        <v>188</v>
      </c>
      <c r="J8" s="2" t="s">
        <v>173</v>
      </c>
    </row>
    <row r="9" spans="1:10" x14ac:dyDescent="0.25">
      <c r="B9" s="25"/>
      <c r="C9" s="27"/>
      <c r="D9" s="27"/>
      <c r="E9" s="27"/>
      <c r="F9" s="27"/>
      <c r="G9" s="27"/>
    </row>
    <row r="10" spans="1:10" x14ac:dyDescent="0.25">
      <c r="A10" s="30">
        <v>2024</v>
      </c>
      <c r="B10" s="25"/>
      <c r="C10" s="31">
        <f t="shared" ref="C10:H10" si="4">SUM(C11:C24)</f>
        <v>257500</v>
      </c>
      <c r="D10" s="31">
        <f t="shared" si="4"/>
        <v>30000</v>
      </c>
      <c r="E10" s="31">
        <f t="shared" si="4"/>
        <v>65000</v>
      </c>
      <c r="F10" s="31">
        <f t="shared" si="4"/>
        <v>0</v>
      </c>
      <c r="G10" s="31">
        <f t="shared" si="4"/>
        <v>200000</v>
      </c>
      <c r="H10" s="31">
        <f t="shared" si="4"/>
        <v>500</v>
      </c>
      <c r="I10" s="3">
        <f>SUM(C10:H10)</f>
        <v>553000</v>
      </c>
    </row>
    <row r="11" spans="1:10" x14ac:dyDescent="0.25">
      <c r="A11" s="30"/>
      <c r="B11" t="s">
        <v>137</v>
      </c>
      <c r="C11" s="27">
        <v>0</v>
      </c>
      <c r="D11" s="27"/>
      <c r="E11" s="27"/>
      <c r="F11" s="27"/>
      <c r="G11" s="27"/>
    </row>
    <row r="12" spans="1:10" x14ac:dyDescent="0.25">
      <c r="B12" t="s">
        <v>218</v>
      </c>
      <c r="C12" s="26"/>
      <c r="D12" s="26"/>
      <c r="E12" s="26">
        <v>50000</v>
      </c>
      <c r="F12" s="26"/>
      <c r="G12" s="26"/>
      <c r="H12" s="26"/>
    </row>
    <row r="13" spans="1:10" x14ac:dyDescent="0.25">
      <c r="B13" t="s">
        <v>187</v>
      </c>
      <c r="C13" s="26">
        <v>10000</v>
      </c>
      <c r="D13" s="26">
        <v>10000</v>
      </c>
      <c r="E13" s="26"/>
      <c r="F13" s="26"/>
      <c r="G13" s="26"/>
      <c r="H13" s="26"/>
      <c r="J13" t="s">
        <v>140</v>
      </c>
    </row>
    <row r="14" spans="1:10" x14ac:dyDescent="0.25">
      <c r="B14" t="s">
        <v>165</v>
      </c>
      <c r="C14" s="26">
        <v>10000</v>
      </c>
      <c r="D14" s="26">
        <v>10000</v>
      </c>
      <c r="E14" s="26"/>
      <c r="F14" s="26"/>
      <c r="G14" s="26"/>
      <c r="H14" s="26"/>
      <c r="J14" t="s">
        <v>140</v>
      </c>
    </row>
    <row r="15" spans="1:10" x14ac:dyDescent="0.25">
      <c r="B15" t="s">
        <v>194</v>
      </c>
      <c r="C15" s="26">
        <v>200000</v>
      </c>
      <c r="D15" s="26">
        <v>0</v>
      </c>
      <c r="E15" s="26"/>
      <c r="F15" s="26"/>
      <c r="G15" s="26"/>
      <c r="H15" s="26"/>
      <c r="J15" t="s">
        <v>213</v>
      </c>
    </row>
    <row r="16" spans="1:10" x14ac:dyDescent="0.25">
      <c r="B16" t="s">
        <v>239</v>
      </c>
      <c r="C16" s="26">
        <v>0</v>
      </c>
      <c r="D16" s="26"/>
      <c r="E16" s="26"/>
      <c r="F16" s="26"/>
      <c r="G16" s="26">
        <v>200000</v>
      </c>
      <c r="H16" s="26"/>
    </row>
    <row r="17" spans="1:10" x14ac:dyDescent="0.25">
      <c r="B17" t="s">
        <v>157</v>
      </c>
      <c r="C17" s="27">
        <v>10000</v>
      </c>
      <c r="D17" s="27">
        <v>10000</v>
      </c>
      <c r="E17" s="27"/>
      <c r="F17" s="27"/>
      <c r="G17" s="27"/>
      <c r="H17" s="27"/>
      <c r="I17" s="27"/>
      <c r="J17" t="s">
        <v>246</v>
      </c>
    </row>
    <row r="18" spans="1:10" x14ac:dyDescent="0.25">
      <c r="A18" s="30"/>
      <c r="B18" t="s">
        <v>160</v>
      </c>
      <c r="C18" s="27"/>
      <c r="D18" s="27"/>
      <c r="E18" s="27">
        <v>0</v>
      </c>
      <c r="F18" s="27"/>
      <c r="G18" s="27"/>
    </row>
    <row r="19" spans="1:10" x14ac:dyDescent="0.25">
      <c r="B19" t="s">
        <v>214</v>
      </c>
      <c r="C19" s="26"/>
      <c r="D19" s="26"/>
      <c r="E19" s="26">
        <v>15000</v>
      </c>
      <c r="F19" s="26"/>
      <c r="G19" s="26"/>
      <c r="H19" s="26"/>
      <c r="J19" s="1" t="s">
        <v>138</v>
      </c>
    </row>
    <row r="20" spans="1:10" x14ac:dyDescent="0.25">
      <c r="B20" t="s">
        <v>243</v>
      </c>
      <c r="C20" s="26">
        <v>7500</v>
      </c>
      <c r="D20" s="26"/>
      <c r="E20" s="26"/>
      <c r="F20" s="26"/>
      <c r="G20" s="26"/>
      <c r="H20" s="26"/>
      <c r="J20" s="1"/>
    </row>
    <row r="21" spans="1:10" x14ac:dyDescent="0.25">
      <c r="A21" s="30"/>
      <c r="B21" t="s">
        <v>186</v>
      </c>
      <c r="C21" s="27">
        <v>20000</v>
      </c>
      <c r="D21" s="27">
        <v>0</v>
      </c>
      <c r="E21" s="27"/>
      <c r="F21" s="27"/>
      <c r="G21" s="27"/>
    </row>
    <row r="22" spans="1:10" x14ac:dyDescent="0.25">
      <c r="B22" t="s">
        <v>166</v>
      </c>
      <c r="D22" s="26"/>
      <c r="E22" s="26"/>
      <c r="F22" s="26"/>
      <c r="G22" s="26"/>
      <c r="H22" s="26">
        <v>500</v>
      </c>
    </row>
    <row r="23" spans="1:10" x14ac:dyDescent="0.25">
      <c r="D23" s="26"/>
      <c r="E23" s="26"/>
      <c r="F23" s="26"/>
      <c r="G23" s="26"/>
      <c r="H23" s="26"/>
    </row>
    <row r="24" spans="1:10" x14ac:dyDescent="0.25">
      <c r="B24" s="25"/>
      <c r="C24" s="27"/>
      <c r="D24" s="27"/>
      <c r="E24" s="27"/>
      <c r="F24" s="27"/>
      <c r="G24" s="27"/>
    </row>
    <row r="25" spans="1:10" x14ac:dyDescent="0.25">
      <c r="A25" s="30">
        <v>2025</v>
      </c>
      <c r="B25" s="25"/>
      <c r="C25" s="31">
        <f t="shared" ref="C25:H25" si="5">SUM(C26:C33)</f>
        <v>17500</v>
      </c>
      <c r="D25" s="31">
        <f t="shared" si="5"/>
        <v>10000</v>
      </c>
      <c r="E25" s="31">
        <f t="shared" si="5"/>
        <v>75000</v>
      </c>
      <c r="F25" s="31">
        <f t="shared" si="5"/>
        <v>0</v>
      </c>
      <c r="G25" s="31">
        <f t="shared" si="5"/>
        <v>0</v>
      </c>
      <c r="H25" s="31">
        <f t="shared" si="5"/>
        <v>1500</v>
      </c>
      <c r="I25" s="3">
        <f>SUM(C25:H25)</f>
        <v>104000</v>
      </c>
    </row>
    <row r="26" spans="1:10" x14ac:dyDescent="0.25">
      <c r="A26" s="30"/>
      <c r="B26" t="s">
        <v>137</v>
      </c>
      <c r="C26" s="27">
        <v>0</v>
      </c>
      <c r="D26" s="27"/>
      <c r="E26" s="27"/>
      <c r="F26" s="27"/>
      <c r="G26" s="27"/>
    </row>
    <row r="27" spans="1:10" x14ac:dyDescent="0.25">
      <c r="B27" t="s">
        <v>218</v>
      </c>
      <c r="C27" s="26"/>
      <c r="D27" s="26"/>
      <c r="E27" s="26">
        <v>50000</v>
      </c>
      <c r="F27" s="26"/>
      <c r="G27" s="26"/>
      <c r="H27" s="26"/>
    </row>
    <row r="28" spans="1:10" x14ac:dyDescent="0.25">
      <c r="B28" t="s">
        <v>139</v>
      </c>
      <c r="C28" s="26"/>
      <c r="D28" s="26"/>
      <c r="E28" s="26">
        <v>25000</v>
      </c>
      <c r="F28" s="26"/>
      <c r="G28" s="26"/>
      <c r="H28" s="26"/>
    </row>
    <row r="29" spans="1:10" x14ac:dyDescent="0.25">
      <c r="B29" t="s">
        <v>243</v>
      </c>
      <c r="C29" s="26">
        <v>7500</v>
      </c>
      <c r="D29" s="26"/>
      <c r="E29" s="26"/>
      <c r="F29" s="26"/>
      <c r="G29" s="26"/>
      <c r="H29" s="26"/>
      <c r="J29" s="1"/>
    </row>
    <row r="30" spans="1:10" x14ac:dyDescent="0.25">
      <c r="A30" s="30"/>
      <c r="B30" t="s">
        <v>186</v>
      </c>
      <c r="C30" s="27">
        <v>10000</v>
      </c>
      <c r="D30" s="27">
        <v>10000</v>
      </c>
      <c r="E30" s="27"/>
      <c r="F30" s="27"/>
      <c r="G30" s="27"/>
    </row>
    <row r="31" spans="1:10" x14ac:dyDescent="0.25">
      <c r="B31" t="s">
        <v>166</v>
      </c>
      <c r="D31" s="26"/>
      <c r="E31" s="26"/>
      <c r="F31" s="26"/>
      <c r="G31" s="26"/>
      <c r="H31" s="26">
        <v>1500</v>
      </c>
    </row>
    <row r="32" spans="1:10" x14ac:dyDescent="0.25">
      <c r="D32" s="26"/>
      <c r="E32" s="26"/>
      <c r="F32" s="26"/>
      <c r="G32" s="26"/>
      <c r="H32" s="26"/>
    </row>
    <row r="33" spans="1:10" x14ac:dyDescent="0.25">
      <c r="A33" s="30"/>
      <c r="C33" s="27"/>
      <c r="D33" s="27"/>
      <c r="E33" s="27"/>
      <c r="F33" s="27"/>
      <c r="G33" s="27"/>
    </row>
    <row r="34" spans="1:10" x14ac:dyDescent="0.25">
      <c r="A34" s="30">
        <v>2026</v>
      </c>
      <c r="B34" s="25"/>
      <c r="C34" s="31">
        <f t="shared" ref="C34:H34" si="6">SUM(C35:C42)</f>
        <v>17500</v>
      </c>
      <c r="D34" s="31">
        <f t="shared" si="6"/>
        <v>10000</v>
      </c>
      <c r="E34" s="31">
        <f t="shared" si="6"/>
        <v>75000</v>
      </c>
      <c r="F34" s="31">
        <f t="shared" si="6"/>
        <v>0</v>
      </c>
      <c r="G34" s="31">
        <f t="shared" si="6"/>
        <v>0</v>
      </c>
      <c r="H34" s="31">
        <f t="shared" si="6"/>
        <v>1500</v>
      </c>
      <c r="I34" s="3">
        <f>SUM(C34:H34)</f>
        <v>104000</v>
      </c>
    </row>
    <row r="35" spans="1:10" x14ac:dyDescent="0.25">
      <c r="A35" s="30"/>
      <c r="B35" t="s">
        <v>137</v>
      </c>
      <c r="C35" s="27"/>
      <c r="D35" s="27"/>
      <c r="E35" s="27"/>
      <c r="F35" s="27"/>
      <c r="G35" s="27"/>
    </row>
    <row r="36" spans="1:10" x14ac:dyDescent="0.25">
      <c r="B36" t="s">
        <v>218</v>
      </c>
      <c r="C36" s="26"/>
      <c r="D36" s="26"/>
      <c r="E36" s="26">
        <v>50000</v>
      </c>
      <c r="F36" s="26"/>
      <c r="G36" s="26"/>
      <c r="H36" s="26"/>
    </row>
    <row r="37" spans="1:10" x14ac:dyDescent="0.25">
      <c r="B37" t="s">
        <v>139</v>
      </c>
      <c r="C37" s="26"/>
      <c r="D37" s="26"/>
      <c r="E37" s="26">
        <v>25000</v>
      </c>
      <c r="F37" s="26"/>
      <c r="G37" s="26"/>
      <c r="H37" s="26"/>
    </row>
    <row r="38" spans="1:10" x14ac:dyDescent="0.25">
      <c r="B38" t="s">
        <v>243</v>
      </c>
      <c r="C38" s="26">
        <v>7500</v>
      </c>
      <c r="D38" s="26"/>
      <c r="E38" s="26"/>
      <c r="F38" s="26"/>
      <c r="G38" s="26"/>
      <c r="H38" s="26"/>
      <c r="J38" s="1"/>
    </row>
    <row r="39" spans="1:10" x14ac:dyDescent="0.25">
      <c r="A39" s="30"/>
      <c r="B39" t="s">
        <v>186</v>
      </c>
      <c r="C39" s="27">
        <v>10000</v>
      </c>
      <c r="D39" s="27">
        <v>10000</v>
      </c>
      <c r="E39" s="27"/>
      <c r="F39" s="27"/>
      <c r="G39" s="27"/>
    </row>
    <row r="40" spans="1:10" x14ac:dyDescent="0.25">
      <c r="B40" t="s">
        <v>166</v>
      </c>
      <c r="D40" s="26"/>
      <c r="E40" s="26"/>
      <c r="F40" s="26"/>
      <c r="G40" s="26"/>
      <c r="H40" s="26">
        <v>1500</v>
      </c>
    </row>
    <row r="41" spans="1:10" x14ac:dyDescent="0.25">
      <c r="A41" s="30"/>
      <c r="C41" s="27"/>
      <c r="D41" s="27"/>
      <c r="E41" s="27"/>
      <c r="F41" s="27"/>
      <c r="G41" s="27"/>
    </row>
    <row r="42" spans="1:10" x14ac:dyDescent="0.25">
      <c r="A42" s="30"/>
      <c r="C42" s="27"/>
      <c r="D42" s="27"/>
      <c r="E42" s="27"/>
      <c r="F42" s="27"/>
      <c r="G42" s="27"/>
    </row>
    <row r="43" spans="1:10" x14ac:dyDescent="0.25">
      <c r="A43" s="30">
        <v>2027</v>
      </c>
      <c r="B43" s="25"/>
      <c r="C43" s="31">
        <f t="shared" ref="C43:H43" si="7">SUM(C44:C50)</f>
        <v>17500</v>
      </c>
      <c r="D43" s="31">
        <f t="shared" si="7"/>
        <v>10000</v>
      </c>
      <c r="E43" s="31">
        <f t="shared" si="7"/>
        <v>75000</v>
      </c>
      <c r="F43" s="31">
        <f t="shared" si="7"/>
        <v>0</v>
      </c>
      <c r="G43" s="31">
        <f t="shared" si="7"/>
        <v>0</v>
      </c>
      <c r="H43" s="31">
        <f t="shared" si="7"/>
        <v>1500</v>
      </c>
      <c r="I43" s="3">
        <f>SUM(C43:H43)</f>
        <v>104000</v>
      </c>
    </row>
    <row r="44" spans="1:10" x14ac:dyDescent="0.25">
      <c r="A44" s="30"/>
      <c r="B44" t="s">
        <v>137</v>
      </c>
      <c r="C44" s="27"/>
      <c r="D44" s="27"/>
      <c r="E44" s="27"/>
      <c r="F44" s="27"/>
      <c r="G44" s="27"/>
    </row>
    <row r="45" spans="1:10" x14ac:dyDescent="0.25">
      <c r="B45" t="s">
        <v>218</v>
      </c>
      <c r="C45" s="26"/>
      <c r="D45" s="26"/>
      <c r="E45" s="26">
        <v>50000</v>
      </c>
      <c r="F45" s="26"/>
      <c r="G45" s="26"/>
      <c r="H45" s="26"/>
    </row>
    <row r="46" spans="1:10" x14ac:dyDescent="0.25">
      <c r="B46" t="s">
        <v>139</v>
      </c>
      <c r="C46" s="26"/>
      <c r="D46" s="26"/>
      <c r="E46" s="26">
        <v>25000</v>
      </c>
      <c r="F46" s="26"/>
      <c r="G46" s="26"/>
      <c r="H46" s="26"/>
    </row>
    <row r="47" spans="1:10" x14ac:dyDescent="0.25">
      <c r="B47" t="s">
        <v>243</v>
      </c>
      <c r="C47" s="26">
        <v>7500</v>
      </c>
      <c r="D47" s="26"/>
      <c r="E47" s="26"/>
      <c r="F47" s="26"/>
      <c r="G47" s="26"/>
      <c r="H47" s="26"/>
      <c r="J47" s="1"/>
    </row>
    <row r="48" spans="1:10" x14ac:dyDescent="0.25">
      <c r="A48" s="30"/>
      <c r="B48" t="s">
        <v>186</v>
      </c>
      <c r="C48" s="27">
        <v>10000</v>
      </c>
      <c r="D48" s="27">
        <v>10000</v>
      </c>
      <c r="E48" s="27"/>
      <c r="F48" s="27"/>
      <c r="G48" s="27"/>
    </row>
    <row r="49" spans="2:8" x14ac:dyDescent="0.25">
      <c r="B49" t="s">
        <v>166</v>
      </c>
      <c r="D49" s="26"/>
      <c r="E49" s="26"/>
      <c r="F49" s="26"/>
      <c r="G49" s="26"/>
      <c r="H49" s="26">
        <v>1500</v>
      </c>
    </row>
  </sheetData>
  <pageMargins left="0.25" right="0.25" top="0.75" bottom="0.75" header="0.3" footer="0.3"/>
  <pageSetup scale="70" fitToHeight="0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1CCB16-791F-43BD-9410-5E882E332606}">
  <dimension ref="A1:B9"/>
  <sheetViews>
    <sheetView workbookViewId="0">
      <selection activeCell="B3" sqref="B3"/>
    </sheetView>
  </sheetViews>
  <sheetFormatPr defaultRowHeight="15" x14ac:dyDescent="0.25"/>
  <cols>
    <col min="1" max="1" width="25.5703125" bestFit="1" customWidth="1"/>
    <col min="2" max="2" width="16" style="1" bestFit="1" customWidth="1"/>
  </cols>
  <sheetData>
    <row r="1" spans="1:2" ht="18.75" x14ac:dyDescent="0.3">
      <c r="A1" s="45" t="s">
        <v>249</v>
      </c>
      <c r="B1" s="46" t="s">
        <v>250</v>
      </c>
    </row>
    <row r="2" spans="1:2" ht="18.75" x14ac:dyDescent="0.3">
      <c r="A2" s="47" t="s">
        <v>241</v>
      </c>
      <c r="B2" s="48">
        <v>20000</v>
      </c>
    </row>
    <row r="3" spans="1:2" ht="18.75" x14ac:dyDescent="0.3">
      <c r="A3" s="47" t="s">
        <v>242</v>
      </c>
      <c r="B3" s="48">
        <v>10000</v>
      </c>
    </row>
    <row r="4" spans="1:2" ht="18.75" x14ac:dyDescent="0.3">
      <c r="A4" s="47" t="s">
        <v>244</v>
      </c>
      <c r="B4" s="48">
        <v>75000</v>
      </c>
    </row>
    <row r="5" spans="1:2" ht="18.75" x14ac:dyDescent="0.3">
      <c r="A5" s="47" t="s">
        <v>245</v>
      </c>
      <c r="B5" s="48">
        <v>3500</v>
      </c>
    </row>
    <row r="6" spans="1:2" ht="18.75" x14ac:dyDescent="0.3">
      <c r="A6" s="47" t="s">
        <v>240</v>
      </c>
      <c r="B6" s="48">
        <v>20000</v>
      </c>
    </row>
    <row r="7" spans="1:2" ht="18.75" x14ac:dyDescent="0.3">
      <c r="A7" s="47" t="s">
        <v>251</v>
      </c>
      <c r="B7" s="48">
        <v>5000</v>
      </c>
    </row>
    <row r="8" spans="1:2" ht="18.75" x14ac:dyDescent="0.3">
      <c r="A8" s="47"/>
      <c r="B8" s="48"/>
    </row>
    <row r="9" spans="1:2" ht="18.75" x14ac:dyDescent="0.3">
      <c r="A9" s="45" t="s">
        <v>188</v>
      </c>
      <c r="B9" s="48">
        <f>SUM(B2:B8)</f>
        <v>133500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I20"/>
  <sheetViews>
    <sheetView showGridLines="0" zoomScale="145" zoomScaleNormal="145" workbookViewId="0">
      <selection activeCell="B1" sqref="B1"/>
    </sheetView>
  </sheetViews>
  <sheetFormatPr defaultRowHeight="15" x14ac:dyDescent="0.25"/>
  <cols>
    <col min="1" max="1" width="2.7109375" customWidth="1"/>
    <col min="2" max="2" width="44.140625" bestFit="1" customWidth="1"/>
    <col min="3" max="3" width="20.42578125" bestFit="1" customWidth="1"/>
    <col min="4" max="8" width="18" customWidth="1"/>
    <col min="9" max="9" width="0" hidden="1" customWidth="1"/>
  </cols>
  <sheetData>
    <row r="2" spans="2:9" ht="26.25" x14ac:dyDescent="0.4">
      <c r="B2" s="51" t="s">
        <v>200</v>
      </c>
      <c r="C2" s="51"/>
      <c r="D2" s="51"/>
      <c r="E2" s="51"/>
      <c r="F2" s="51"/>
      <c r="G2" s="51"/>
      <c r="H2" s="51"/>
      <c r="I2" s="51"/>
    </row>
    <row r="3" spans="2:9" ht="9.9499999999999993" customHeight="1" x14ac:dyDescent="0.35">
      <c r="C3" s="8"/>
      <c r="D3" s="8"/>
      <c r="E3" s="8"/>
      <c r="F3" s="8"/>
      <c r="G3" s="8"/>
      <c r="H3" s="8"/>
    </row>
    <row r="4" spans="2:9" ht="21" x14ac:dyDescent="0.35">
      <c r="B4" s="9"/>
      <c r="C4" s="10" t="s">
        <v>235</v>
      </c>
      <c r="D4" s="10" t="s">
        <v>163</v>
      </c>
      <c r="E4" s="10" t="s">
        <v>171</v>
      </c>
      <c r="F4" s="10" t="s">
        <v>195</v>
      </c>
      <c r="G4" s="10" t="s">
        <v>208</v>
      </c>
      <c r="H4" s="10" t="s">
        <v>236</v>
      </c>
      <c r="I4" s="10" t="s">
        <v>159</v>
      </c>
    </row>
    <row r="5" spans="2:9" ht="21" x14ac:dyDescent="0.35">
      <c r="B5" s="11" t="s">
        <v>199</v>
      </c>
      <c r="C5" s="38">
        <v>1151000</v>
      </c>
      <c r="D5" s="38">
        <f>C13</f>
        <v>791000</v>
      </c>
      <c r="E5" s="38">
        <f>D13</f>
        <v>704000</v>
      </c>
      <c r="F5" s="38">
        <f>E13</f>
        <v>739000</v>
      </c>
      <c r="G5" s="38">
        <f>F13</f>
        <v>764000</v>
      </c>
      <c r="H5" s="38">
        <f>G13</f>
        <v>779000</v>
      </c>
      <c r="I5" s="12"/>
    </row>
    <row r="6" spans="2:9" ht="9.9499999999999993" customHeight="1" x14ac:dyDescent="0.35">
      <c r="B6" s="13"/>
      <c r="C6" s="14"/>
      <c r="D6" s="14"/>
      <c r="E6" s="14"/>
      <c r="F6" s="14"/>
      <c r="G6" s="14"/>
      <c r="H6" s="14"/>
    </row>
    <row r="7" spans="2:9" ht="21" x14ac:dyDescent="0.35">
      <c r="B7" s="11" t="s">
        <v>144</v>
      </c>
      <c r="C7" s="12">
        <v>400000</v>
      </c>
      <c r="D7" s="15">
        <f>+BUDGET!H161</f>
        <v>400000</v>
      </c>
      <c r="E7" s="12">
        <v>400000</v>
      </c>
      <c r="F7" s="12">
        <v>400000</v>
      </c>
      <c r="G7" s="12">
        <v>400000</v>
      </c>
      <c r="H7" s="12">
        <v>400000</v>
      </c>
      <c r="I7" s="52">
        <f>SUM(C7:G8)</f>
        <v>3200406</v>
      </c>
    </row>
    <row r="8" spans="2:9" ht="21" x14ac:dyDescent="0.35">
      <c r="B8" s="11" t="s">
        <v>145</v>
      </c>
      <c r="C8" s="12">
        <v>359800</v>
      </c>
      <c r="D8" s="12">
        <f>+BUDGET!H162</f>
        <v>450606</v>
      </c>
      <c r="E8" s="12">
        <v>130000</v>
      </c>
      <c r="F8" s="12">
        <v>130000</v>
      </c>
      <c r="G8" s="12">
        <v>130000</v>
      </c>
      <c r="H8" s="12">
        <v>130000</v>
      </c>
      <c r="I8" s="52"/>
    </row>
    <row r="9" spans="2:9" ht="9.9499999999999993" customHeight="1" x14ac:dyDescent="0.35">
      <c r="B9" s="13"/>
      <c r="C9" s="12"/>
      <c r="D9" s="12"/>
      <c r="E9" s="12"/>
      <c r="F9" s="12"/>
      <c r="G9" s="12"/>
      <c r="H9" s="12"/>
    </row>
    <row r="10" spans="2:9" ht="21" x14ac:dyDescent="0.35">
      <c r="B10" s="11" t="s">
        <v>146</v>
      </c>
      <c r="C10" s="12">
        <f>1120000-C11</f>
        <v>895000</v>
      </c>
      <c r="D10" s="12">
        <f>SUM(BUDGET!H165:H166)</f>
        <v>384940.63</v>
      </c>
      <c r="E10" s="12">
        <v>390000</v>
      </c>
      <c r="F10" s="12">
        <v>395000</v>
      </c>
      <c r="G10" s="12">
        <v>400000</v>
      </c>
      <c r="H10" s="12">
        <v>405000</v>
      </c>
      <c r="I10" s="12">
        <f>SUM(C10:G10)</f>
        <v>2464940.63</v>
      </c>
    </row>
    <row r="11" spans="2:9" ht="21" x14ac:dyDescent="0.35">
      <c r="B11" s="11" t="s">
        <v>189</v>
      </c>
      <c r="C11" s="12">
        <v>225000</v>
      </c>
      <c r="D11" s="12">
        <f>+BUDGET!H164</f>
        <v>553000</v>
      </c>
      <c r="E11" s="12">
        <v>105000</v>
      </c>
      <c r="F11" s="12">
        <v>110000</v>
      </c>
      <c r="G11" s="12">
        <v>115000</v>
      </c>
      <c r="H11" s="12">
        <v>120000</v>
      </c>
      <c r="I11" s="12">
        <f>SUM(C11:G11)</f>
        <v>1108000</v>
      </c>
    </row>
    <row r="12" spans="2:9" ht="9.9499999999999993" customHeight="1" x14ac:dyDescent="0.35">
      <c r="I12" s="12"/>
    </row>
    <row r="13" spans="2:9" ht="21" x14ac:dyDescent="0.35">
      <c r="B13" s="11" t="s">
        <v>192</v>
      </c>
      <c r="C13" s="38">
        <f t="shared" ref="C13:H13" si="0">ROUND(C5+C7+C8-C10-C11,-3)</f>
        <v>791000</v>
      </c>
      <c r="D13" s="38">
        <f t="shared" si="0"/>
        <v>704000</v>
      </c>
      <c r="E13" s="38">
        <f t="shared" si="0"/>
        <v>739000</v>
      </c>
      <c r="F13" s="38">
        <f t="shared" si="0"/>
        <v>764000</v>
      </c>
      <c r="G13" s="38">
        <f t="shared" si="0"/>
        <v>779000</v>
      </c>
      <c r="H13" s="38">
        <f t="shared" si="0"/>
        <v>784000</v>
      </c>
      <c r="I13" s="12"/>
    </row>
    <row r="14" spans="2:9" ht="9.9499999999999993" customHeight="1" x14ac:dyDescent="0.35">
      <c r="B14" s="16"/>
      <c r="C14" s="16"/>
      <c r="D14" s="16"/>
      <c r="E14" s="16"/>
      <c r="F14" s="16"/>
      <c r="G14" s="16"/>
      <c r="H14" s="16"/>
      <c r="I14" s="12"/>
    </row>
    <row r="15" spans="2:9" ht="9.9499999999999993" customHeight="1" x14ac:dyDescent="0.35">
      <c r="B15" s="16"/>
      <c r="C15" s="16"/>
      <c r="D15" s="16"/>
      <c r="E15" s="16"/>
      <c r="F15" s="16"/>
      <c r="G15" s="16"/>
      <c r="H15" s="16"/>
      <c r="I15" s="12"/>
    </row>
    <row r="16" spans="2:9" ht="90.75" customHeight="1" x14ac:dyDescent="0.25">
      <c r="B16" s="53" t="s">
        <v>255</v>
      </c>
      <c r="C16" s="53"/>
      <c r="D16" s="53"/>
      <c r="E16" s="53"/>
      <c r="F16" s="53"/>
      <c r="G16" s="53"/>
      <c r="H16" s="53"/>
      <c r="I16" s="53"/>
    </row>
    <row r="17" spans="2:9" x14ac:dyDescent="0.25">
      <c r="B17" s="7"/>
      <c r="C17" s="7"/>
      <c r="D17" s="7"/>
      <c r="E17" s="7"/>
      <c r="F17" s="7"/>
      <c r="G17" s="7"/>
      <c r="H17" s="7"/>
      <c r="I17" s="7"/>
    </row>
    <row r="18" spans="2:9" x14ac:dyDescent="0.25">
      <c r="B18" s="7"/>
    </row>
    <row r="20" spans="2:9" x14ac:dyDescent="0.25">
      <c r="D20" s="7"/>
    </row>
  </sheetData>
  <mergeCells count="3">
    <mergeCell ref="B2:I2"/>
    <mergeCell ref="I7:I8"/>
    <mergeCell ref="B16:I16"/>
  </mergeCells>
  <pageMargins left="0.25" right="0.25" top="0.75" bottom="0.75" header="0.3" footer="0.3"/>
  <pageSetup scale="85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3F5314-1211-418E-83E1-0E9CB6139B70}">
  <dimension ref="A1"/>
  <sheetViews>
    <sheetView workbookViewId="0"/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SUMMARY</vt:lpstr>
      <vt:lpstr>BUDGET</vt:lpstr>
      <vt:lpstr>CAPITAL</vt:lpstr>
      <vt:lpstr>CONTRACTORS</vt:lpstr>
      <vt:lpstr>PROJECTION</vt:lpstr>
      <vt:lpstr>HISTORICAL</vt:lpstr>
      <vt:lpstr>BUDGET!Print_Area</vt:lpstr>
      <vt:lpstr>PROJECTION!Print_Area</vt:lpstr>
      <vt:lpstr>BUDGET!Print_Titles</vt:lpstr>
      <vt:lpstr>CAPITAL!Print_Titles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Winde</dc:creator>
  <cp:lastModifiedBy>Ron Mossberg</cp:lastModifiedBy>
  <cp:lastPrinted>2021-12-02T22:39:44Z</cp:lastPrinted>
  <dcterms:created xsi:type="dcterms:W3CDTF">2018-10-22T00:51:34Z</dcterms:created>
  <dcterms:modified xsi:type="dcterms:W3CDTF">2024-01-30T04:08:20Z</dcterms:modified>
</cp:coreProperties>
</file>