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fileSharing userName="Ron Mossberg" algorithmName="SHA-512" hashValue="LHGszJKE9ejZ9GhVJgCjvPIkSHtz/P7RLAAxyvPixBN86v+Yc6mw3oRUpjF/1GXbT8QinKnRSL4ZYUKa5l99zg==" saltValue="fUjzCN/Z49tpeeHmujuJNw==" spinCount="1000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e\Google Drive\Windemere Township\Budget\2023\"/>
    </mc:Choice>
  </mc:AlternateContent>
  <xr:revisionPtr revIDLastSave="0" documentId="8_{E25C770E-EAB3-40AC-9AC5-CF5334111DC0}" xr6:coauthVersionLast="47" xr6:coauthVersionMax="47" xr10:uidLastSave="{00000000-0000-0000-0000-000000000000}"/>
  <bookViews>
    <workbookView xWindow="-98" yWindow="-98" windowWidth="28996" windowHeight="16395" xr2:uid="{00000000-000D-0000-FFFF-FFFF00000000}"/>
  </bookViews>
  <sheets>
    <sheet name="SUMMARY" sheetId="5" r:id="rId1"/>
    <sheet name="BUDGET" sheetId="3" r:id="rId2"/>
    <sheet name="ROADS" sheetId="7" r:id="rId3"/>
    <sheet name="PROJECTION" sheetId="6" r:id="rId4"/>
    <sheet name="HISTORICAL" sheetId="8" r:id="rId5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1">BUDGET!$A$1:$O$174</definedName>
    <definedName name="_xlnm.Print_Area" localSheetId="3">PROJECTION!$A$1:$I$18</definedName>
    <definedName name="_xlnm.Print_Titles" localSheetId="1">BUDGET!$1:$5</definedName>
    <definedName name="_xlnm.Print_Titles" localSheetId="2">ROADS!$1:$8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8" i="3" l="1"/>
  <c r="N9" i="5"/>
  <c r="O102" i="3"/>
  <c r="N102" i="3"/>
  <c r="M102" i="3"/>
  <c r="L102" i="3"/>
  <c r="K102" i="3"/>
  <c r="J102" i="3"/>
  <c r="I102" i="3"/>
  <c r="H102" i="3"/>
  <c r="H133" i="3"/>
  <c r="H145" i="3" l="1"/>
  <c r="H144" i="3"/>
  <c r="H141" i="3"/>
  <c r="H29" i="3" l="1"/>
  <c r="H36" i="3"/>
  <c r="C8" i="6"/>
  <c r="H142" i="3"/>
  <c r="O28" i="3"/>
  <c r="O159" i="3"/>
  <c r="O158" i="3"/>
  <c r="O156" i="3"/>
  <c r="O153" i="3"/>
  <c r="O151" i="3"/>
  <c r="O150" i="3"/>
  <c r="O148" i="3"/>
  <c r="O147" i="3"/>
  <c r="O146" i="3"/>
  <c r="O145" i="3"/>
  <c r="O144" i="3"/>
  <c r="O143" i="3"/>
  <c r="O142" i="3"/>
  <c r="O141" i="3"/>
  <c r="O139" i="3"/>
  <c r="O138" i="3"/>
  <c r="O137" i="3"/>
  <c r="O136" i="3"/>
  <c r="O135" i="3"/>
  <c r="O134" i="3"/>
  <c r="O133" i="3"/>
  <c r="O132" i="3"/>
  <c r="O131" i="3"/>
  <c r="O130" i="3"/>
  <c r="O129" i="3"/>
  <c r="O128" i="3"/>
  <c r="O127" i="3"/>
  <c r="O126" i="3"/>
  <c r="O122" i="3"/>
  <c r="O121" i="3"/>
  <c r="O119" i="3"/>
  <c r="O118" i="3"/>
  <c r="O114" i="3"/>
  <c r="O112" i="3"/>
  <c r="O111" i="3"/>
  <c r="O109" i="3"/>
  <c r="O108" i="3"/>
  <c r="O107" i="3"/>
  <c r="O106" i="3"/>
  <c r="O105" i="3"/>
  <c r="O99" i="3"/>
  <c r="O97" i="3"/>
  <c r="O96" i="3"/>
  <c r="O94" i="3"/>
  <c r="O93" i="3"/>
  <c r="O92" i="3"/>
  <c r="O90" i="3"/>
  <c r="O88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7" i="3"/>
  <c r="O56" i="3"/>
  <c r="O55" i="3"/>
  <c r="O54" i="3"/>
  <c r="O53" i="3"/>
  <c r="O52" i="3"/>
  <c r="O48" i="3"/>
  <c r="O47" i="3"/>
  <c r="O46" i="3"/>
  <c r="O45" i="3"/>
  <c r="O38" i="3"/>
  <c r="O37" i="3"/>
  <c r="O36" i="3"/>
  <c r="O32" i="3"/>
  <c r="O31" i="3"/>
  <c r="O22" i="3"/>
  <c r="O21" i="3"/>
  <c r="O20" i="3"/>
  <c r="O16" i="3"/>
  <c r="O13" i="3"/>
  <c r="O10" i="3"/>
  <c r="O9" i="3"/>
  <c r="J170" i="3" l="1"/>
  <c r="J147" i="3"/>
  <c r="J145" i="3"/>
  <c r="J144" i="3"/>
  <c r="J120" i="3"/>
  <c r="J123" i="3" s="1"/>
  <c r="J108" i="3"/>
  <c r="J107" i="3"/>
  <c r="J93" i="3"/>
  <c r="J92" i="3"/>
  <c r="J69" i="3"/>
  <c r="J85" i="3" s="1"/>
  <c r="J55" i="3"/>
  <c r="J54" i="3"/>
  <c r="J47" i="3"/>
  <c r="J49" i="3" s="1"/>
  <c r="J50" i="3" s="1"/>
  <c r="J39" i="3"/>
  <c r="J33" i="3"/>
  <c r="J34" i="3" s="1"/>
  <c r="J23" i="3"/>
  <c r="J25" i="3" s="1"/>
  <c r="J17" i="3"/>
  <c r="J14" i="3"/>
  <c r="J11" i="3"/>
  <c r="J167" i="3" s="1"/>
  <c r="C13" i="6"/>
  <c r="H93" i="3"/>
  <c r="H92" i="3"/>
  <c r="H47" i="3"/>
  <c r="J110" i="3" l="1"/>
  <c r="J113" i="3" s="1"/>
  <c r="J149" i="3"/>
  <c r="J152" i="3" s="1"/>
  <c r="J154" i="3" s="1"/>
  <c r="J171" i="3" s="1"/>
  <c r="J86" i="3"/>
  <c r="J95" i="3"/>
  <c r="J98" i="3" s="1"/>
  <c r="J40" i="3"/>
  <c r="J115" i="3" l="1"/>
  <c r="J162" i="3" s="1"/>
  <c r="J172" i="3" s="1"/>
  <c r="J168" i="3"/>
  <c r="J163" i="3" l="1"/>
  <c r="I170" i="3"/>
  <c r="I168" i="3"/>
  <c r="I167" i="3"/>
  <c r="H69" i="3"/>
  <c r="I171" i="3" l="1"/>
  <c r="I172" i="3" s="1"/>
  <c r="H120" i="3"/>
  <c r="H123" i="3" s="1"/>
  <c r="N13" i="5" s="1"/>
  <c r="H108" i="3"/>
  <c r="H107" i="3"/>
  <c r="H95" i="3"/>
  <c r="H85" i="3"/>
  <c r="H55" i="3"/>
  <c r="H54" i="3"/>
  <c r="H49" i="3"/>
  <c r="H50" i="3" s="1"/>
  <c r="N6" i="5" s="1"/>
  <c r="H39" i="3"/>
  <c r="G10" i="5" s="1"/>
  <c r="H33" i="3"/>
  <c r="H34" i="3" s="1"/>
  <c r="G9" i="5" s="1"/>
  <c r="H23" i="3"/>
  <c r="H25" i="3" s="1"/>
  <c r="G8" i="5" s="1"/>
  <c r="H17" i="3"/>
  <c r="G7" i="5" s="1"/>
  <c r="H14" i="3"/>
  <c r="G6" i="5" s="1"/>
  <c r="H11" i="3"/>
  <c r="H40" i="7"/>
  <c r="H5" i="7" s="1"/>
  <c r="G40" i="7"/>
  <c r="G5" i="7" s="1"/>
  <c r="F40" i="7"/>
  <c r="E40" i="7"/>
  <c r="E5" i="7" s="1"/>
  <c r="D40" i="7"/>
  <c r="D5" i="7" s="1"/>
  <c r="C40" i="7"/>
  <c r="C5" i="7" s="1"/>
  <c r="C33" i="7"/>
  <c r="D33" i="7"/>
  <c r="H33" i="7"/>
  <c r="G33" i="7"/>
  <c r="F33" i="7"/>
  <c r="E33" i="7"/>
  <c r="N149" i="3"/>
  <c r="N160" i="3"/>
  <c r="N110" i="3"/>
  <c r="N95" i="3"/>
  <c r="N85" i="3"/>
  <c r="N39" i="3"/>
  <c r="N23" i="3"/>
  <c r="N17" i="3"/>
  <c r="O17" i="3" s="1"/>
  <c r="N14" i="3"/>
  <c r="N11" i="3"/>
  <c r="N157" i="3"/>
  <c r="O157" i="3" s="1"/>
  <c r="N120" i="3"/>
  <c r="N49" i="3"/>
  <c r="N33" i="3"/>
  <c r="M149" i="3"/>
  <c r="M152" i="3" s="1"/>
  <c r="M154" i="3" s="1"/>
  <c r="L149" i="3"/>
  <c r="L152" i="3" s="1"/>
  <c r="L154" i="3" s="1"/>
  <c r="M120" i="3"/>
  <c r="M123" i="3" s="1"/>
  <c r="L120" i="3"/>
  <c r="L123" i="3" s="1"/>
  <c r="M110" i="3"/>
  <c r="M113" i="3" s="1"/>
  <c r="L110" i="3"/>
  <c r="L113" i="3" s="1"/>
  <c r="M95" i="3"/>
  <c r="M98" i="3" s="1"/>
  <c r="L95" i="3"/>
  <c r="L98" i="3" s="1"/>
  <c r="M85" i="3"/>
  <c r="M86" i="3" s="1"/>
  <c r="L85" i="3"/>
  <c r="L86" i="3" s="1"/>
  <c r="M49" i="3"/>
  <c r="M50" i="3" s="1"/>
  <c r="L49" i="3"/>
  <c r="L50" i="3" s="1"/>
  <c r="M39" i="3"/>
  <c r="L39" i="3"/>
  <c r="M33" i="3"/>
  <c r="M34" i="3" s="1"/>
  <c r="L33" i="3"/>
  <c r="L34" i="3" s="1"/>
  <c r="M23" i="3"/>
  <c r="M25" i="3" s="1"/>
  <c r="L23" i="3"/>
  <c r="L25" i="3" s="1"/>
  <c r="M14" i="3"/>
  <c r="L14" i="3"/>
  <c r="M11" i="3"/>
  <c r="L11" i="3"/>
  <c r="M160" i="3"/>
  <c r="O11" i="3" l="1"/>
  <c r="O39" i="3"/>
  <c r="O160" i="3"/>
  <c r="O33" i="3"/>
  <c r="O14" i="3"/>
  <c r="N86" i="3"/>
  <c r="O86" i="3" s="1"/>
  <c r="O85" i="3"/>
  <c r="N152" i="3"/>
  <c r="O149" i="3"/>
  <c r="N123" i="3"/>
  <c r="O123" i="3" s="1"/>
  <c r="O120" i="3"/>
  <c r="N98" i="3"/>
  <c r="O98" i="3" s="1"/>
  <c r="O95" i="3"/>
  <c r="N50" i="3"/>
  <c r="O50" i="3" s="1"/>
  <c r="O49" i="3"/>
  <c r="O23" i="3"/>
  <c r="N113" i="3"/>
  <c r="O113" i="3" s="1"/>
  <c r="O110" i="3"/>
  <c r="H40" i="3"/>
  <c r="H98" i="3"/>
  <c r="N8" i="5" s="1"/>
  <c r="H167" i="3"/>
  <c r="D7" i="6" s="1"/>
  <c r="G5" i="5"/>
  <c r="G11" i="5" s="1"/>
  <c r="M40" i="3"/>
  <c r="H149" i="3"/>
  <c r="H86" i="3"/>
  <c r="H110" i="3"/>
  <c r="H113" i="3" s="1"/>
  <c r="N10" i="5" s="1"/>
  <c r="I40" i="7"/>
  <c r="F5" i="7"/>
  <c r="I5" i="7" s="1"/>
  <c r="N34" i="3"/>
  <c r="O34" i="3" s="1"/>
  <c r="N25" i="3"/>
  <c r="O25" i="3" s="1"/>
  <c r="M115" i="3"/>
  <c r="M162" i="3" s="1"/>
  <c r="L115" i="3"/>
  <c r="L162" i="3" s="1"/>
  <c r="L40" i="3"/>
  <c r="N115" i="3" l="1"/>
  <c r="O115" i="3" s="1"/>
  <c r="N154" i="3"/>
  <c r="O154" i="3" s="1"/>
  <c r="O152" i="3"/>
  <c r="N7" i="5"/>
  <c r="N11" i="5" s="1"/>
  <c r="H115" i="3"/>
  <c r="M163" i="3"/>
  <c r="H168" i="3"/>
  <c r="D8" i="6" s="1"/>
  <c r="N40" i="3"/>
  <c r="O40" i="3" s="1"/>
  <c r="L163" i="3"/>
  <c r="N162" i="3" l="1"/>
  <c r="O162" i="3" s="1"/>
  <c r="N163" i="3" l="1"/>
  <c r="O163" i="3" s="1"/>
  <c r="B3" i="7"/>
  <c r="B4" i="7" s="1"/>
  <c r="B5" i="7" s="1"/>
  <c r="H4" i="7" l="1"/>
  <c r="G4" i="7"/>
  <c r="F4" i="7"/>
  <c r="E4" i="7"/>
  <c r="D4" i="7"/>
  <c r="C4" i="7"/>
  <c r="H25" i="7"/>
  <c r="H3" i="7" s="1"/>
  <c r="G25" i="7"/>
  <c r="G3" i="7" s="1"/>
  <c r="F25" i="7"/>
  <c r="F3" i="7" s="1"/>
  <c r="E25" i="7"/>
  <c r="E3" i="7" s="1"/>
  <c r="D25" i="7"/>
  <c r="D3" i="7" s="1"/>
  <c r="C25" i="7"/>
  <c r="C3" i="7" s="1"/>
  <c r="H10" i="7"/>
  <c r="G10" i="7"/>
  <c r="G2" i="7" s="1"/>
  <c r="F10" i="7"/>
  <c r="F2" i="7" s="1"/>
  <c r="E10" i="7"/>
  <c r="E2" i="7" s="1"/>
  <c r="D10" i="7"/>
  <c r="C10" i="7"/>
  <c r="H2" i="7" l="1"/>
  <c r="H139" i="3"/>
  <c r="D2" i="7"/>
  <c r="H135" i="3"/>
  <c r="C2" i="7"/>
  <c r="H151" i="3"/>
  <c r="I4" i="7"/>
  <c r="I2" i="7"/>
  <c r="I25" i="7"/>
  <c r="I33" i="7"/>
  <c r="I3" i="7"/>
  <c r="I10" i="7"/>
  <c r="H170" i="3" l="1"/>
  <c r="D11" i="6" s="1"/>
  <c r="H152" i="3"/>
  <c r="H154" i="3" s="1"/>
  <c r="I7" i="6"/>
  <c r="H171" i="3" l="1"/>
  <c r="N14" i="5"/>
  <c r="H162" i="3"/>
  <c r="I11" i="6"/>
  <c r="H163" i="3" l="1"/>
  <c r="H172" i="3"/>
  <c r="D10" i="6" s="1"/>
  <c r="I10" i="6" s="1"/>
  <c r="N15" i="5"/>
  <c r="O9" i="5" l="1"/>
  <c r="N17" i="5"/>
  <c r="O13" i="5"/>
  <c r="O10" i="5"/>
  <c r="O7" i="5"/>
  <c r="O8" i="5"/>
  <c r="O11" i="5"/>
  <c r="O6" i="5"/>
  <c r="O15" i="5"/>
  <c r="O14" i="5"/>
  <c r="D5" i="6"/>
  <c r="D13" i="6" s="1"/>
  <c r="E5" i="6" l="1"/>
  <c r="E13" i="6" s="1"/>
  <c r="F5" i="6" l="1"/>
  <c r="F13" i="6" s="1"/>
  <c r="G5" i="6" l="1"/>
  <c r="G13" i="6" s="1"/>
  <c r="H5" i="6" l="1"/>
  <c r="H13" i="6" s="1"/>
</calcChain>
</file>

<file path=xl/sharedStrings.xml><?xml version="1.0" encoding="utf-8"?>
<sst xmlns="http://schemas.openxmlformats.org/spreadsheetml/2006/main" count="291" uniqueCount="245">
  <si>
    <t>31000 · General Property Taxes</t>
  </si>
  <si>
    <t>31010 · Current Property Taxes</t>
  </si>
  <si>
    <t>31020 · Delinquent Property Taxes</t>
  </si>
  <si>
    <t>Total 31000 · General Property Taxes</t>
  </si>
  <si>
    <t>31900 · Delinquent Taxes</t>
  </si>
  <si>
    <t>31920 · Tax Forfeiture Sales</t>
  </si>
  <si>
    <t>Total 31900 · Delinquent Taxes</t>
  </si>
  <si>
    <t>32000 · Licenses and Permits</t>
  </si>
  <si>
    <t>32110 · Alcoholic Beverages</t>
  </si>
  <si>
    <t>Total 32000 · Licenses and Permits</t>
  </si>
  <si>
    <t>33000 · Intergovernmental Revenues</t>
  </si>
  <si>
    <t>33400 · State Grants and Aids.</t>
  </si>
  <si>
    <t>33401 · Local Government Aid</t>
  </si>
  <si>
    <t>33418 · Refund of Gas Tax</t>
  </si>
  <si>
    <t>33428 · Payments in Lieu of Taxes</t>
  </si>
  <si>
    <t>Total 33400 · State Grants and Aids.</t>
  </si>
  <si>
    <t>Total 33000 · Intergovernmental Revenues</t>
  </si>
  <si>
    <t>34000 · Charges for Services</t>
  </si>
  <si>
    <t>34100 · General Government</t>
  </si>
  <si>
    <t>34102 · Recording Fees</t>
  </si>
  <si>
    <t>34103 · Zoning and Subdivision Fees</t>
  </si>
  <si>
    <t>34111 · Variance Application Fees</t>
  </si>
  <si>
    <t>Total 34100 · General Government</t>
  </si>
  <si>
    <t>Total 34000 · Charges for Services</t>
  </si>
  <si>
    <t>36200 · Miscellaneous Revenues</t>
  </si>
  <si>
    <t>36210 · Interest Earnings</t>
  </si>
  <si>
    <t>36230 · Donations from Private Sources</t>
  </si>
  <si>
    <t>36200 · Miscellaneous Revenues - Other</t>
  </si>
  <si>
    <t>Total 36200 · Miscellaneous Revenues</t>
  </si>
  <si>
    <t>Expense</t>
  </si>
  <si>
    <t>41000 · General Government</t>
  </si>
  <si>
    <t>41100 · Legislative</t>
  </si>
  <si>
    <t>41110 · Township Board</t>
  </si>
  <si>
    <t>103.1 · Part-Time Employee Wages</t>
  </si>
  <si>
    <t>119.1 · Personal Mileage Reimbursement</t>
  </si>
  <si>
    <t>122.1 · FICA Contributions</t>
  </si>
  <si>
    <t>142.1 · Unemployment Comp Benefits</t>
  </si>
  <si>
    <t>Total 41110 · Township Board</t>
  </si>
  <si>
    <t>Total 41100 · Legislative</t>
  </si>
  <si>
    <t>41400 · Township Clerk</t>
  </si>
  <si>
    <t>103.2 · Part-Time Employee Wages</t>
  </si>
  <si>
    <t>121.2 · PERA Contributions</t>
  </si>
  <si>
    <t>122.2 · FICA Contributions</t>
  </si>
  <si>
    <t>41410 · Elections</t>
  </si>
  <si>
    <t>41420 · Recording and Reporting</t>
  </si>
  <si>
    <t>41430 · Other Township Expenses</t>
  </si>
  <si>
    <t>133 · Life Insurance</t>
  </si>
  <si>
    <t>199 · Service / Late Fees</t>
  </si>
  <si>
    <t>201 · Accessories</t>
  </si>
  <si>
    <t>202 · Printing &amp; Copying</t>
  </si>
  <si>
    <t>203 · Paper Products</t>
  </si>
  <si>
    <t>207 · Training &amp; Materials</t>
  </si>
  <si>
    <t>208 · Food and Beverages</t>
  </si>
  <si>
    <t>240.1 · Equipment</t>
  </si>
  <si>
    <t>321 · Telephone</t>
  </si>
  <si>
    <t>322 · Postage</t>
  </si>
  <si>
    <t>325 · Internet</t>
  </si>
  <si>
    <t>331 · Travel</t>
  </si>
  <si>
    <t>340 · Advertising</t>
  </si>
  <si>
    <t>362 · Property Insurance</t>
  </si>
  <si>
    <t>381 · Electriity</t>
  </si>
  <si>
    <t>383 · Propane</t>
  </si>
  <si>
    <t>385 · Sewer / Septic</t>
  </si>
  <si>
    <t>401 · Building Repair</t>
  </si>
  <si>
    <t>405 · Cleaning Services</t>
  </si>
  <si>
    <t>433 · Dues and Subscriptions</t>
  </si>
  <si>
    <t>490 · Donations to Civic Organization</t>
  </si>
  <si>
    <t>570 · Office Equip and Furnishings</t>
  </si>
  <si>
    <t>41430 · Other Township Expenses - Other</t>
  </si>
  <si>
    <t>Total 41430 · Other Township Expenses</t>
  </si>
  <si>
    <t>Total 41400 · Township Clerk</t>
  </si>
  <si>
    <t>41500 · Financial Management</t>
  </si>
  <si>
    <t>301 · Auditing &amp; Accounting Services</t>
  </si>
  <si>
    <t>41510 · Township Treasurer</t>
  </si>
  <si>
    <t>103.3 · Part-Time Employee Wages</t>
  </si>
  <si>
    <t>122.3 · FICA Contributions</t>
  </si>
  <si>
    <t>Total 41510 · Township Treasurer</t>
  </si>
  <si>
    <t>41550 · Assessment Expenses</t>
  </si>
  <si>
    <t>Total 41500 · Financial Management</t>
  </si>
  <si>
    <t>41600 · Legal Services</t>
  </si>
  <si>
    <t>41900 · Other General Government</t>
  </si>
  <si>
    <t>41910 · Planning and Zoning</t>
  </si>
  <si>
    <t>103.4 · Part-Time Employee Wages</t>
  </si>
  <si>
    <t>122.4 · FICA Contributions</t>
  </si>
  <si>
    <t>41910 · Planning and Zoning - Other</t>
  </si>
  <si>
    <t>Total 41910 · Planning and Zoning</t>
  </si>
  <si>
    <t>41920 · Data Processing</t>
  </si>
  <si>
    <t>Total 41900 · Other General Government</t>
  </si>
  <si>
    <t>41000 · General Government - Other</t>
  </si>
  <si>
    <t>Total 41000 · General Government</t>
  </si>
  <si>
    <t>42000 · Public Safety</t>
  </si>
  <si>
    <t>42200 · Fire</t>
  </si>
  <si>
    <t>42220 · Fire Fighting</t>
  </si>
  <si>
    <t>42260 · Fire Repair Services</t>
  </si>
  <si>
    <t>Total 42200 · Fire</t>
  </si>
  <si>
    <t>42600 · Traffic Signs</t>
  </si>
  <si>
    <t>42700 · Animal Control</t>
  </si>
  <si>
    <t>Total 42000 · Public Safety</t>
  </si>
  <si>
    <t>43000 · Public Works</t>
  </si>
  <si>
    <t>43100 · Highways, Streets and Roadways</t>
  </si>
  <si>
    <t>212 · Motor Fuels</t>
  </si>
  <si>
    <t>213 · Lubricants and Additives</t>
  </si>
  <si>
    <t>215 · Shop Materials</t>
  </si>
  <si>
    <t>220 · Repair and Maintenance Supplies</t>
  </si>
  <si>
    <t>224 · Road Materials</t>
  </si>
  <si>
    <t>240.2 · Small Tools and Minor Equipment</t>
  </si>
  <si>
    <t>303 · Engineering and Surveying Fees</t>
  </si>
  <si>
    <t>334 · Vehicle Registration / Tabs</t>
  </si>
  <si>
    <t>363 · Automobile Insurance</t>
  </si>
  <si>
    <t>404 · Machinery and Equipment Repair</t>
  </si>
  <si>
    <t>416 · Machinery Rental</t>
  </si>
  <si>
    <t>43122 · Road Maintenance</t>
  </si>
  <si>
    <t>103.5 · Part-time Employee Wages</t>
  </si>
  <si>
    <t>121.5 · PERA Contributions</t>
  </si>
  <si>
    <t>122.5 · FICA Contributions</t>
  </si>
  <si>
    <t>131.5 · Health Insurance</t>
  </si>
  <si>
    <t>43122 · Road Maintenance - Other</t>
  </si>
  <si>
    <t>Total 43122 · Road Maintenance</t>
  </si>
  <si>
    <t>43126 · Road Equipment</t>
  </si>
  <si>
    <t>43100 · Highways, Streets and Roadways - Other</t>
  </si>
  <si>
    <t>Total 43100 · Highways, Streets and Roadways</t>
  </si>
  <si>
    <t>43200 · Sanitation</t>
  </si>
  <si>
    <t>Total 43000 · Public Works</t>
  </si>
  <si>
    <t>47000 · Debt Service</t>
  </si>
  <si>
    <t>47210 · Bond Interest Payments</t>
  </si>
  <si>
    <t>Total 47000 · Debt Service</t>
  </si>
  <si>
    <t>Total Expense</t>
  </si>
  <si>
    <t>119.2 · Personal Mileage Reimbursement</t>
  </si>
  <si>
    <t>151 · Worker's Comp Insurance</t>
  </si>
  <si>
    <t>41510 · Township Treasurer - Other</t>
  </si>
  <si>
    <t>41500 · Financial Management - Other</t>
  </si>
  <si>
    <t>119.4 · Personal Mileage Reimbursement</t>
  </si>
  <si>
    <t>121.4 · PERA Contributions</t>
  </si>
  <si>
    <t>41940 · Building Maintenance</t>
  </si>
  <si>
    <t>119.5 · Personal Mileage Reimbursement</t>
  </si>
  <si>
    <t>211 · Cleaning Supplies</t>
  </si>
  <si>
    <t>222 · Tires</t>
  </si>
  <si>
    <t>44000 · Health and Welfare</t>
  </si>
  <si>
    <t>44133 · Sanitary Sewer Inspection</t>
  </si>
  <si>
    <t>Total 44000 · Health and Welfare</t>
  </si>
  <si>
    <t>384 · Garbage Disposal</t>
  </si>
  <si>
    <t>121.3 · PERA Contributions</t>
  </si>
  <si>
    <t>Notes</t>
  </si>
  <si>
    <t>Chip Sealing</t>
  </si>
  <si>
    <t>Gravel and salt, culverts</t>
  </si>
  <si>
    <t>Gravel hauling</t>
  </si>
  <si>
    <t>Document R/O/W for all Roads</t>
  </si>
  <si>
    <t>Miles of roads: 48.6   Number of roads: 79</t>
  </si>
  <si>
    <t>Box culvert</t>
  </si>
  <si>
    <t>Actual</t>
  </si>
  <si>
    <t>2019</t>
  </si>
  <si>
    <t>Plan for a 5-year audit cycle</t>
  </si>
  <si>
    <t>SUMMARY</t>
  </si>
  <si>
    <t>Levy Revenue</t>
  </si>
  <si>
    <t>Other Revenue</t>
  </si>
  <si>
    <t>Operating Expenses</t>
  </si>
  <si>
    <t>Difference</t>
  </si>
  <si>
    <t>Revenue</t>
  </si>
  <si>
    <t>Total Revenue</t>
  </si>
  <si>
    <t>41400 · Clerk &amp; Operations</t>
  </si>
  <si>
    <t>41100 · Supervisory</t>
  </si>
  <si>
    <t>41500 · Treasurer &amp; Financial Mgmt</t>
  </si>
  <si>
    <t>41900 · Planning &amp; Zonging / Other</t>
  </si>
  <si>
    <t>42000 · Public Safety &amp; Fire</t>
  </si>
  <si>
    <t>43000 · Highways, Streets, Bridges</t>
  </si>
  <si>
    <t>Revenue/Expense</t>
  </si>
  <si>
    <t>Sturgeon Island Bridge</t>
  </si>
  <si>
    <t>2023</t>
  </si>
  <si>
    <t>5 year</t>
  </si>
  <si>
    <t>Gravel Crushing</t>
  </si>
  <si>
    <t>Budget</t>
  </si>
  <si>
    <t>2020</t>
  </si>
  <si>
    <t>2024</t>
  </si>
  <si>
    <t>Star Gazette and Evergreen duplicate ads</t>
  </si>
  <si>
    <t>Island Lake Rd (north end) culvert</t>
  </si>
  <si>
    <t>Equipment rental</t>
  </si>
  <si>
    <t>Windemere Township 5-Year Capital Expenses Projection</t>
  </si>
  <si>
    <t>Administrative Operating Expenses</t>
  </si>
  <si>
    <t>Road Operations Expenses</t>
  </si>
  <si>
    <t>2021</t>
  </si>
  <si>
    <t>2025</t>
  </si>
  <si>
    <t>Project</t>
  </si>
  <si>
    <t>Project Notes</t>
  </si>
  <si>
    <t>Road Construction</t>
  </si>
  <si>
    <t>Acct 43100</t>
  </si>
  <si>
    <t>Acct 303</t>
  </si>
  <si>
    <t>Road Materials</t>
  </si>
  <si>
    <t>Acct 224</t>
  </si>
  <si>
    <t>Capital Equipment</t>
  </si>
  <si>
    <t>Acct 43126</t>
  </si>
  <si>
    <t>Building Maintenance</t>
  </si>
  <si>
    <t>Acct 41940</t>
  </si>
  <si>
    <t>Machinery Rental</t>
  </si>
  <si>
    <t>Acct 416</t>
  </si>
  <si>
    <t>2022</t>
  </si>
  <si>
    <t>Unknown culvert projects</t>
  </si>
  <si>
    <t>Birchview</t>
  </si>
  <si>
    <t>TOTAL</t>
  </si>
  <si>
    <t>Capital Project Expenses</t>
  </si>
  <si>
    <t>Engineer / Survey</t>
  </si>
  <si>
    <t>113.5 - Apprenticeship Contriubtion</t>
  </si>
  <si>
    <t>Total Cash: End of Year</t>
  </si>
  <si>
    <t>Capital Improvements</t>
  </si>
  <si>
    <t>Sturgeon Island Rd (Seg 1)</t>
  </si>
  <si>
    <t>2026</t>
  </si>
  <si>
    <t>125.5 · Other (Union) Retirement</t>
  </si>
  <si>
    <t>103.6 · Contractors</t>
  </si>
  <si>
    <t>Projected</t>
  </si>
  <si>
    <t>Total Cash on Hand: Start of Year</t>
  </si>
  <si>
    <t>Windemere Township 5-Year Cash Flow Projection</t>
  </si>
  <si>
    <t>5 Yr Average</t>
  </si>
  <si>
    <t>Two employees - cell phone reimbursement</t>
  </si>
  <si>
    <t>R/O/W road platting</t>
  </si>
  <si>
    <t>309 · Website / IT Services</t>
  </si>
  <si>
    <t>Warbler Ln</t>
  </si>
  <si>
    <t>Commercial area. Road to Doc's and other businesses.</t>
  </si>
  <si>
    <t>(DRAFT)</t>
  </si>
  <si>
    <t>Blight cleanup</t>
  </si>
  <si>
    <t>$18k for Dennis. $5k for enforcement.</t>
  </si>
  <si>
    <t>304.1 · General Township</t>
  </si>
  <si>
    <t>304.2 · Planning and Zoning</t>
  </si>
  <si>
    <t>2023 Budget Summary</t>
  </si>
  <si>
    <t>Windemere Township 2023 Budget Estimating Worksheet</t>
  </si>
  <si>
    <t>2027</t>
  </si>
  <si>
    <t>2022 Projected</t>
  </si>
  <si>
    <t>33000 · Intergovernmental Revenues - Other</t>
  </si>
  <si>
    <t>119.3 · Personal Mileage Reimbursement</t>
  </si>
  <si>
    <t>$1,500 general. $0 for P&amp;Z postcards.</t>
  </si>
  <si>
    <t>$250 general postage. $0 for P&amp;Z special mailing.</t>
  </si>
  <si>
    <t>Paving Bridge to Hill St</t>
  </si>
  <si>
    <t>Road materials</t>
  </si>
  <si>
    <t>Grading/Plowing/Hauling/Ditching/Culverts/Misc</t>
  </si>
  <si>
    <t>No further COVID funds</t>
  </si>
  <si>
    <r>
      <t>Notes:
1-"Pro forma" models the anticipated results of the 5-year planned budget, with particular emphasis on the projected cash flows, net revenues and tax levies.
2-Models a contracted services operation
3-Does NOT include sales of any un-used equipment
4-</t>
    </r>
    <r>
      <rPr>
        <b/>
        <sz val="12"/>
        <color rgb="FFFF0000"/>
        <rFont val="Calibri"/>
        <family val="2"/>
        <scheme val="minor"/>
      </rPr>
      <t>Capital Projects</t>
    </r>
    <r>
      <rPr>
        <b/>
        <sz val="12"/>
        <color theme="1"/>
        <rFont val="Calibri"/>
        <family val="2"/>
        <scheme val="minor"/>
      </rPr>
      <t xml:space="preserve"> = Road Materials (224), Engineering (303), Machinery Rental (416), Building Maintenance (41940), Construction (43100), Capital Equipment (43126)</t>
    </r>
  </si>
  <si>
    <t>QuickBooks payroll fees</t>
  </si>
  <si>
    <t>STVR Fees</t>
  </si>
  <si>
    <t>STVR State Taxes</t>
  </si>
  <si>
    <t>STVR / Blight legal fees</t>
  </si>
  <si>
    <t>Calcium chloride</t>
  </si>
  <si>
    <t>Road Coordinator: 600 hours @ $25 / hour; $5k severance payout</t>
  </si>
  <si>
    <t>50 permits in the first year @ $1,500 / each</t>
  </si>
  <si>
    <t>Total 41600 · Legal Services</t>
  </si>
  <si>
    <r>
      <rPr>
        <sz val="11"/>
        <color rgb="FFFF0000"/>
        <rFont val="Calibri"/>
        <family val="2"/>
        <scheme val="minor"/>
      </rPr>
      <t>Capital Improvements</t>
    </r>
    <r>
      <rPr>
        <sz val="11"/>
        <color theme="1"/>
        <rFont val="Calibri"/>
        <family val="2"/>
        <scheme val="minor"/>
      </rPr>
      <t xml:space="preserve"> = Road Materials (224), Engineering (303), Machinery Rental (416), Building Maintenance (41940), Construction (43100), Capital Equipment (43126)</t>
    </r>
  </si>
  <si>
    <t>$500 for normal road signs. $1,000 for P&amp;Z signs. $3,500 for inspection.</t>
  </si>
  <si>
    <t>Beaver/culvert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</si>
</sst>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0;\-#,##0.00"/>
    <numFmt numFmtId="165" formatCode="0_);\(0\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rgb="FF323232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43" fontId="0" fillId="0" borderId="0" xfId="1" applyFont="1"/>
    <xf numFmtId="0" fontId="2" fillId="0" borderId="0" xfId="0" applyFont="1"/>
    <xf numFmtId="43" fontId="2" fillId="0" borderId="0" xfId="1" applyFont="1"/>
    <xf numFmtId="43" fontId="2" fillId="0" borderId="0" xfId="1" applyFont="1" applyAlignment="1">
      <alignment horizontal="center"/>
    </xf>
    <xf numFmtId="43" fontId="2" fillId="2" borderId="0" xfId="1" applyFont="1" applyFill="1" applyAlignment="1">
      <alignment horizontal="center"/>
    </xf>
    <xf numFmtId="43" fontId="0" fillId="2" borderId="0" xfId="1" applyFont="1" applyFill="1"/>
    <xf numFmtId="3" fontId="0" fillId="0" borderId="0" xfId="0" applyNumberFormat="1"/>
    <xf numFmtId="49" fontId="8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10" fillId="3" borderId="0" xfId="0" applyNumberFormat="1" applyFont="1" applyFill="1" applyAlignment="1">
      <alignment horizontal="center"/>
    </xf>
    <xf numFmtId="0" fontId="4" fillId="0" borderId="0" xfId="0" applyFont="1" applyAlignment="1">
      <alignment horizontal="left"/>
    </xf>
    <xf numFmtId="3" fontId="8" fillId="0" borderId="0" xfId="0" applyNumberFormat="1" applyFont="1"/>
    <xf numFmtId="0" fontId="9" fillId="0" borderId="0" xfId="0" applyFont="1"/>
    <xf numFmtId="0" fontId="8" fillId="0" borderId="0" xfId="0" applyFont="1"/>
    <xf numFmtId="3" fontId="11" fillId="0" borderId="0" xfId="0" applyNumberFormat="1" applyFont="1"/>
    <xf numFmtId="49" fontId="9" fillId="0" borderId="0" xfId="0" applyNumberFormat="1" applyFont="1" applyAlignment="1">
      <alignment horizontal="left"/>
    </xf>
    <xf numFmtId="43" fontId="13" fillId="0" borderId="0" xfId="1" applyFont="1"/>
    <xf numFmtId="43" fontId="2" fillId="2" borderId="0" xfId="1" quotePrefix="1" applyFont="1" applyFill="1" applyAlignment="1">
      <alignment horizontal="center"/>
    </xf>
    <xf numFmtId="43" fontId="2" fillId="0" borderId="0" xfId="1" quotePrefix="1" applyFont="1" applyAlignment="1">
      <alignment horizontal="center"/>
    </xf>
    <xf numFmtId="0" fontId="6" fillId="0" borderId="0" xfId="0" applyFont="1"/>
    <xf numFmtId="43" fontId="7" fillId="0" borderId="0" xfId="1" applyFont="1"/>
    <xf numFmtId="10" fontId="0" fillId="0" borderId="0" xfId="3" applyNumberFormat="1" applyFont="1"/>
    <xf numFmtId="10" fontId="14" fillId="0" borderId="0" xfId="3" applyNumberFormat="1" applyFont="1"/>
    <xf numFmtId="0" fontId="7" fillId="0" borderId="0" xfId="0" applyFont="1" applyAlignment="1"/>
    <xf numFmtId="0" fontId="2" fillId="0" borderId="0" xfId="0" applyFont="1" applyFill="1" applyAlignment="1">
      <alignment horizontal="right"/>
    </xf>
    <xf numFmtId="0" fontId="0" fillId="0" borderId="0" xfId="0" applyFill="1"/>
    <xf numFmtId="43" fontId="0" fillId="0" borderId="0" xfId="1" applyFont="1" applyFill="1"/>
    <xf numFmtId="43" fontId="0" fillId="0" borderId="0" xfId="0" applyNumberFormat="1" applyFill="1"/>
    <xf numFmtId="0" fontId="2" fillId="0" borderId="0" xfId="0" applyFont="1" applyFill="1" applyAlignment="1">
      <alignment horizontal="left"/>
    </xf>
    <xf numFmtId="43" fontId="2" fillId="0" borderId="0" xfId="0" applyNumberFormat="1" applyFont="1" applyFill="1" applyAlignment="1">
      <alignment textRotation="90"/>
    </xf>
    <xf numFmtId="0" fontId="2" fillId="0" borderId="0" xfId="0" quotePrefix="1" applyFont="1"/>
    <xf numFmtId="43" fontId="2" fillId="0" borderId="0" xfId="1" applyFont="1" applyFill="1" applyAlignment="1"/>
    <xf numFmtId="43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3" fontId="2" fillId="0" borderId="0" xfId="1" applyFont="1" applyFill="1"/>
    <xf numFmtId="43" fontId="2" fillId="0" borderId="0" xfId="1" quotePrefix="1" applyFont="1" applyFill="1" applyAlignment="1">
      <alignment horizontal="center"/>
    </xf>
    <xf numFmtId="43" fontId="2" fillId="0" borderId="0" xfId="1" applyFont="1" applyFill="1" applyAlignment="1">
      <alignment horizontal="center"/>
    </xf>
    <xf numFmtId="164" fontId="15" fillId="0" borderId="0" xfId="0" applyNumberFormat="1" applyFont="1"/>
    <xf numFmtId="165" fontId="2" fillId="0" borderId="0" xfId="1" applyNumberFormat="1" applyFont="1" applyAlignment="1">
      <alignment horizontal="center"/>
    </xf>
    <xf numFmtId="43" fontId="2" fillId="2" borderId="0" xfId="1" applyFont="1" applyFill="1"/>
    <xf numFmtId="3" fontId="8" fillId="4" borderId="0" xfId="0" applyNumberFormat="1" applyFont="1" applyFill="1"/>
    <xf numFmtId="166" fontId="0" fillId="0" borderId="0" xfId="3" applyNumberFormat="1" applyFont="1" applyFill="1"/>
    <xf numFmtId="43" fontId="1" fillId="0" borderId="0" xfId="1" applyFont="1"/>
    <xf numFmtId="43" fontId="1" fillId="2" borderId="0" xfId="1" applyFont="1" applyFill="1"/>
    <xf numFmtId="13" fontId="0" fillId="0" borderId="0" xfId="1" applyNumberFormat="1" applyFont="1"/>
    <xf numFmtId="43" fontId="0" fillId="5" borderId="0" xfId="1" applyFont="1" applyFill="1"/>
    <xf numFmtId="43" fontId="16" fillId="2" borderId="0" xfId="1" applyFont="1" applyFill="1"/>
    <xf numFmtId="43" fontId="17" fillId="2" borderId="0" xfId="1" applyFont="1" applyFill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8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left" wrapText="1"/>
    </xf>
  </cellXfs>
  <cellStyles count="4">
    <cellStyle name="Comma" xfId="1" builtinId="3"/>
    <cellStyle name="Normal" xfId="0" builtinId="0"/>
    <cellStyle name="Normal 2" xfId="2" xr:uid="{00000000-0005-0000-0000-000003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20159</xdr:colOff>
      <xdr:row>36</xdr:row>
      <xdr:rowOff>143852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B11CEFE-AAC9-4128-848F-6FFDCF548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944959" cy="70018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7"/>
  <sheetViews>
    <sheetView showGridLines="0" tabSelected="1" zoomScale="160" zoomScaleNormal="160" workbookViewId="0">
      <selection sqref="A1:N1"/>
    </sheetView>
  </sheetViews>
  <sheetFormatPr defaultRowHeight="14.25" x14ac:dyDescent="0.45"/>
  <cols>
    <col min="1" max="5" width="2.73046875" customWidth="1"/>
    <col min="6" max="6" width="27.59765625" customWidth="1"/>
    <col min="7" max="7" width="13.86328125" bestFit="1" customWidth="1"/>
    <col min="8" max="12" width="2.73046875" customWidth="1"/>
    <col min="13" max="13" width="27.265625" customWidth="1"/>
    <col min="14" max="14" width="14.1328125" bestFit="1" customWidth="1"/>
  </cols>
  <sheetData>
    <row r="1" spans="1:15" ht="21" x14ac:dyDescent="0.65">
      <c r="A1" s="49" t="s">
        <v>221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5" x14ac:dyDescent="0.45">
      <c r="G2" s="1"/>
    </row>
    <row r="3" spans="1:15" x14ac:dyDescent="0.45">
      <c r="G3" s="19" t="s">
        <v>167</v>
      </c>
      <c r="N3" s="19" t="s">
        <v>167</v>
      </c>
    </row>
    <row r="4" spans="1:15" x14ac:dyDescent="0.45">
      <c r="B4" s="2" t="s">
        <v>157</v>
      </c>
      <c r="G4" s="4" t="s">
        <v>170</v>
      </c>
      <c r="I4" s="2" t="s">
        <v>29</v>
      </c>
      <c r="N4" s="4" t="s">
        <v>170</v>
      </c>
    </row>
    <row r="5" spans="1:15" x14ac:dyDescent="0.45">
      <c r="C5" t="s">
        <v>0</v>
      </c>
      <c r="G5" s="1">
        <f>+BUDGET!H11</f>
        <v>405000</v>
      </c>
      <c r="J5" t="s">
        <v>30</v>
      </c>
      <c r="N5" s="1"/>
    </row>
    <row r="6" spans="1:15" x14ac:dyDescent="0.45">
      <c r="C6" t="s">
        <v>4</v>
      </c>
      <c r="G6" s="1">
        <f>+BUDGET!H14</f>
        <v>10000</v>
      </c>
      <c r="K6" t="s">
        <v>160</v>
      </c>
      <c r="N6" s="1">
        <f>BUDGET!H50</f>
        <v>13756.25</v>
      </c>
      <c r="O6" s="22">
        <f t="shared" ref="O6:O11" si="0">N6/$N$15</f>
        <v>2.0945746614516422E-2</v>
      </c>
    </row>
    <row r="7" spans="1:15" x14ac:dyDescent="0.45">
      <c r="C7" t="s">
        <v>7</v>
      </c>
      <c r="G7" s="1">
        <f>+BUDGET!H17</f>
        <v>0</v>
      </c>
      <c r="K7" t="s">
        <v>159</v>
      </c>
      <c r="N7" s="1">
        <f>BUDGET!H86</f>
        <v>52042.5</v>
      </c>
      <c r="O7" s="22">
        <f t="shared" si="0"/>
        <v>7.9241727809975168E-2</v>
      </c>
    </row>
    <row r="8" spans="1:15" x14ac:dyDescent="0.45">
      <c r="C8" t="s">
        <v>10</v>
      </c>
      <c r="G8" s="1">
        <f>+BUDGET!H25</f>
        <v>52800</v>
      </c>
      <c r="K8" t="s">
        <v>161</v>
      </c>
      <c r="N8" s="1">
        <f>BUDGET!H98</f>
        <v>24135.5</v>
      </c>
      <c r="O8" s="22">
        <f t="shared" si="0"/>
        <v>3.674955510510939E-2</v>
      </c>
    </row>
    <row r="9" spans="1:15" x14ac:dyDescent="0.45">
      <c r="C9" t="s">
        <v>17</v>
      </c>
      <c r="G9" s="1">
        <f>+BUDGET!H34</f>
        <v>85000</v>
      </c>
      <c r="K9" t="s">
        <v>79</v>
      </c>
      <c r="N9" s="1">
        <f>BUDGET!H102</f>
        <v>20000</v>
      </c>
      <c r="O9" s="22">
        <f t="shared" si="0"/>
        <v>3.0452698394571806E-2</v>
      </c>
    </row>
    <row r="10" spans="1:15" ht="16.5" x14ac:dyDescent="0.75">
      <c r="C10" t="s">
        <v>24</v>
      </c>
      <c r="G10" s="1">
        <f>+BUDGET!H39</f>
        <v>26500</v>
      </c>
      <c r="K10" t="s">
        <v>162</v>
      </c>
      <c r="N10" s="17">
        <f>BUDGET!H113</f>
        <v>33384.5</v>
      </c>
      <c r="O10" s="23">
        <f t="shared" si="0"/>
        <v>5.0832405477679123E-2</v>
      </c>
    </row>
    <row r="11" spans="1:15" x14ac:dyDescent="0.45">
      <c r="B11" s="2" t="s">
        <v>158</v>
      </c>
      <c r="G11" s="3">
        <f>SUM(G5:G10)</f>
        <v>579300</v>
      </c>
      <c r="J11" t="s">
        <v>89</v>
      </c>
      <c r="N11" s="1">
        <f>SUM(N6:N10)</f>
        <v>143318.75</v>
      </c>
      <c r="O11" s="22">
        <f t="shared" si="0"/>
        <v>0.2182221334018519</v>
      </c>
    </row>
    <row r="12" spans="1:15" x14ac:dyDescent="0.45">
      <c r="B12" s="2"/>
      <c r="G12" s="3"/>
      <c r="N12" s="1"/>
      <c r="O12" s="22"/>
    </row>
    <row r="13" spans="1:15" x14ac:dyDescent="0.45">
      <c r="J13" t="s">
        <v>163</v>
      </c>
      <c r="N13" s="1">
        <f>BUDGET!H123</f>
        <v>100650</v>
      </c>
      <c r="O13" s="22">
        <f>N13/$N$15</f>
        <v>0.15325320467068262</v>
      </c>
    </row>
    <row r="14" spans="1:15" ht="16.5" x14ac:dyDescent="0.75">
      <c r="J14" t="s">
        <v>164</v>
      </c>
      <c r="N14" s="17">
        <f>BUDGET!H154</f>
        <v>412787.5</v>
      </c>
      <c r="O14" s="22">
        <f>N14/$N$15</f>
        <v>0.62852466192746548</v>
      </c>
    </row>
    <row r="15" spans="1:15" x14ac:dyDescent="0.45">
      <c r="I15" s="2" t="s">
        <v>126</v>
      </c>
      <c r="N15" s="3">
        <f>N11+N13+N14</f>
        <v>656756.25</v>
      </c>
      <c r="O15" s="22">
        <f>N15/$N$15</f>
        <v>1</v>
      </c>
    </row>
    <row r="16" spans="1:15" x14ac:dyDescent="0.45">
      <c r="I16" s="2"/>
      <c r="N16" s="1"/>
    </row>
    <row r="17" spans="9:14" x14ac:dyDescent="0.45">
      <c r="I17" s="2" t="s">
        <v>156</v>
      </c>
      <c r="N17" s="3">
        <f>G11-N15</f>
        <v>-77456.25</v>
      </c>
    </row>
  </sheetData>
  <mergeCells count="1">
    <mergeCell ref="A1:N1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74"/>
  <sheetViews>
    <sheetView topLeftCell="B1" zoomScale="130" zoomScaleNormal="130" workbookViewId="0">
      <pane ySplit="5" topLeftCell="A116" activePane="bottomLeft" state="frozen"/>
      <selection pane="bottomLeft" activeCell="H118" sqref="H118"/>
    </sheetView>
  </sheetViews>
  <sheetFormatPr defaultRowHeight="14.25" x14ac:dyDescent="0.45"/>
  <cols>
    <col min="1" max="6" width="2.73046875" customWidth="1"/>
    <col min="7" max="7" width="39.73046875" customWidth="1"/>
    <col min="8" max="8" width="13.1328125" bestFit="1" customWidth="1"/>
    <col min="9" max="10" width="13.265625" style="1" customWidth="1"/>
    <col min="11" max="12" width="13.265625" customWidth="1"/>
    <col min="13" max="13" width="13.73046875" customWidth="1"/>
    <col min="14" max="14" width="12.86328125" style="1" bestFit="1" customWidth="1"/>
    <col min="15" max="15" width="13.3984375" style="1" bestFit="1" customWidth="1"/>
    <col min="16" max="16" width="68.73046875" style="1" bestFit="1" customWidth="1"/>
  </cols>
  <sheetData>
    <row r="1" spans="1:16" ht="21" x14ac:dyDescent="0.65">
      <c r="A1" s="49" t="s">
        <v>222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6" x14ac:dyDescent="0.45">
      <c r="M2" s="27"/>
    </row>
    <row r="3" spans="1:16" x14ac:dyDescent="0.45">
      <c r="H3" s="18" t="s">
        <v>167</v>
      </c>
      <c r="I3" s="36" t="s">
        <v>194</v>
      </c>
      <c r="J3" s="36" t="s">
        <v>194</v>
      </c>
      <c r="K3" s="36" t="s">
        <v>179</v>
      </c>
      <c r="L3" s="36" t="s">
        <v>171</v>
      </c>
      <c r="M3" s="4" t="s">
        <v>150</v>
      </c>
      <c r="N3" s="39">
        <v>2018</v>
      </c>
      <c r="O3" s="4"/>
    </row>
    <row r="4" spans="1:16" x14ac:dyDescent="0.45">
      <c r="H4" s="5" t="s">
        <v>170</v>
      </c>
      <c r="I4" s="4" t="s">
        <v>207</v>
      </c>
      <c r="J4" s="37" t="s">
        <v>170</v>
      </c>
      <c r="K4" s="37" t="s">
        <v>149</v>
      </c>
      <c r="L4" s="4" t="s">
        <v>149</v>
      </c>
      <c r="M4" s="4" t="s">
        <v>149</v>
      </c>
      <c r="N4" s="4" t="s">
        <v>149</v>
      </c>
      <c r="O4" s="4" t="s">
        <v>210</v>
      </c>
      <c r="P4" s="3" t="s">
        <v>142</v>
      </c>
    </row>
    <row r="5" spans="1:16" x14ac:dyDescent="0.45">
      <c r="H5" s="5" t="s">
        <v>216</v>
      </c>
      <c r="I5" s="4"/>
      <c r="J5" s="4"/>
      <c r="K5" s="4"/>
      <c r="L5" s="4"/>
      <c r="M5" s="4"/>
      <c r="N5" s="4"/>
      <c r="O5" s="4"/>
      <c r="P5" s="3"/>
    </row>
    <row r="6" spans="1:16" x14ac:dyDescent="0.45">
      <c r="B6" s="2" t="s">
        <v>165</v>
      </c>
      <c r="H6" s="6"/>
      <c r="K6" s="1"/>
      <c r="L6" s="1"/>
      <c r="M6" s="1"/>
    </row>
    <row r="7" spans="1:16" x14ac:dyDescent="0.45">
      <c r="C7" t="s">
        <v>157</v>
      </c>
      <c r="H7" s="6"/>
      <c r="K7" s="1"/>
      <c r="L7" s="1"/>
      <c r="M7" s="1"/>
    </row>
    <row r="8" spans="1:16" ht="15.4" x14ac:dyDescent="0.45">
      <c r="D8" t="s">
        <v>0</v>
      </c>
      <c r="H8" s="6"/>
      <c r="K8" s="1"/>
      <c r="L8" s="1"/>
      <c r="M8" s="1"/>
      <c r="N8" s="38"/>
    </row>
    <row r="9" spans="1:16" x14ac:dyDescent="0.45">
      <c r="E9" t="s">
        <v>1</v>
      </c>
      <c r="H9" s="6">
        <v>390000</v>
      </c>
      <c r="I9" s="1">
        <v>389761.92000000004</v>
      </c>
      <c r="J9" s="1">
        <v>390000</v>
      </c>
      <c r="K9" s="1">
        <v>390566.51</v>
      </c>
      <c r="L9" s="1">
        <v>389271.43</v>
      </c>
      <c r="M9" s="1">
        <v>387851.79</v>
      </c>
      <c r="N9" s="1">
        <v>762360.43</v>
      </c>
      <c r="O9" s="1">
        <f>(+N9+M9+L9+K9+I9)/5</f>
        <v>463962.41600000003</v>
      </c>
    </row>
    <row r="10" spans="1:16" x14ac:dyDescent="0.45">
      <c r="E10" t="s">
        <v>2</v>
      </c>
      <c r="H10" s="6">
        <v>15000</v>
      </c>
      <c r="I10" s="1">
        <v>13368.25</v>
      </c>
      <c r="J10" s="1">
        <v>17500</v>
      </c>
      <c r="K10" s="1">
        <v>17427.45</v>
      </c>
      <c r="L10" s="1">
        <v>57479.46</v>
      </c>
      <c r="M10" s="1">
        <v>22158.31</v>
      </c>
      <c r="N10" s="1">
        <v>15044.97</v>
      </c>
      <c r="O10" s="1">
        <f t="shared" ref="O10:O11" si="0">(+N10+M10+L10+K10+I10)/5</f>
        <v>25095.687999999998</v>
      </c>
    </row>
    <row r="11" spans="1:16" x14ac:dyDescent="0.45">
      <c r="D11" t="s">
        <v>3</v>
      </c>
      <c r="H11" s="6">
        <f>SUM(H9:H10)</f>
        <v>405000</v>
      </c>
      <c r="I11" s="1">
        <v>403130.17</v>
      </c>
      <c r="J11" s="1">
        <f>SUM(J9:J10)</f>
        <v>407500</v>
      </c>
      <c r="K11" s="1">
        <v>407993.96</v>
      </c>
      <c r="L11" s="1">
        <f>SUM(L9:L10)</f>
        <v>446750.89</v>
      </c>
      <c r="M11" s="1">
        <f>SUM(M9:M10)</f>
        <v>410010.1</v>
      </c>
      <c r="N11" s="1">
        <f>SUM(N9:N10)</f>
        <v>777405.4</v>
      </c>
      <c r="O11" s="1">
        <f t="shared" si="0"/>
        <v>489058.10399999999</v>
      </c>
    </row>
    <row r="12" spans="1:16" x14ac:dyDescent="0.45">
      <c r="D12" t="s">
        <v>4</v>
      </c>
      <c r="H12" s="6"/>
      <c r="K12" s="1"/>
      <c r="L12" s="1"/>
      <c r="M12" s="1"/>
    </row>
    <row r="13" spans="1:16" x14ac:dyDescent="0.45">
      <c r="E13" t="s">
        <v>5</v>
      </c>
      <c r="H13" s="6">
        <v>10000</v>
      </c>
      <c r="I13" s="1">
        <v>25279.26</v>
      </c>
      <c r="J13" s="1">
        <v>7000</v>
      </c>
      <c r="K13" s="1">
        <v>20165.03</v>
      </c>
      <c r="L13" s="1">
        <v>5267.57</v>
      </c>
      <c r="M13" s="1">
        <v>2116.64</v>
      </c>
      <c r="N13" s="1">
        <v>1844.74</v>
      </c>
      <c r="O13" s="1">
        <f t="shared" ref="O13:O14" si="1">(+N13+M13+L13+K13+I13)/5</f>
        <v>10934.647999999999</v>
      </c>
    </row>
    <row r="14" spans="1:16" x14ac:dyDescent="0.45">
      <c r="D14" t="s">
        <v>6</v>
      </c>
      <c r="H14" s="6">
        <f>H13</f>
        <v>10000</v>
      </c>
      <c r="I14" s="1">
        <v>25279.26</v>
      </c>
      <c r="J14" s="1">
        <f>J13</f>
        <v>7000</v>
      </c>
      <c r="K14" s="1">
        <v>20165.03</v>
      </c>
      <c r="L14" s="1">
        <f>L13</f>
        <v>5267.57</v>
      </c>
      <c r="M14" s="1">
        <f>M13</f>
        <v>2116.64</v>
      </c>
      <c r="N14" s="1">
        <f>N13</f>
        <v>1844.74</v>
      </c>
      <c r="O14" s="1">
        <f t="shared" si="1"/>
        <v>10934.647999999999</v>
      </c>
    </row>
    <row r="15" spans="1:16" x14ac:dyDescent="0.45">
      <c r="D15" t="s">
        <v>7</v>
      </c>
      <c r="H15" s="6"/>
      <c r="K15" s="1"/>
      <c r="L15" s="1"/>
      <c r="M15" s="1"/>
    </row>
    <row r="16" spans="1:16" x14ac:dyDescent="0.45">
      <c r="E16" t="s">
        <v>8</v>
      </c>
      <c r="H16" s="6">
        <v>0</v>
      </c>
      <c r="I16" s="1">
        <v>100</v>
      </c>
      <c r="J16" s="1">
        <v>0</v>
      </c>
      <c r="K16" s="1">
        <v>0</v>
      </c>
      <c r="L16" s="1"/>
      <c r="M16" s="1"/>
      <c r="N16" s="1">
        <v>100</v>
      </c>
      <c r="O16" s="1">
        <f t="shared" ref="O16:O17" si="2">(+N16+M16+L16+K16+I16)/5</f>
        <v>40</v>
      </c>
    </row>
    <row r="17" spans="4:16" x14ac:dyDescent="0.45">
      <c r="D17" t="s">
        <v>9</v>
      </c>
      <c r="H17" s="6">
        <f>H16</f>
        <v>0</v>
      </c>
      <c r="I17" s="1">
        <v>100</v>
      </c>
      <c r="J17" s="1">
        <f>J16</f>
        <v>0</v>
      </c>
      <c r="K17" s="1">
        <v>0</v>
      </c>
      <c r="L17" s="1"/>
      <c r="M17" s="1"/>
      <c r="N17" s="1">
        <f>N16</f>
        <v>100</v>
      </c>
      <c r="O17" s="1">
        <f t="shared" si="2"/>
        <v>40</v>
      </c>
    </row>
    <row r="18" spans="4:16" x14ac:dyDescent="0.45">
      <c r="D18" t="s">
        <v>10</v>
      </c>
      <c r="H18" s="6"/>
      <c r="K18" s="1"/>
      <c r="L18" s="1"/>
      <c r="M18" s="1"/>
    </row>
    <row r="19" spans="4:16" x14ac:dyDescent="0.45">
      <c r="E19" t="s">
        <v>11</v>
      </c>
      <c r="H19" s="6"/>
      <c r="K19" s="1"/>
      <c r="L19" s="1"/>
      <c r="M19" s="1"/>
    </row>
    <row r="20" spans="4:16" x14ac:dyDescent="0.45">
      <c r="F20" t="s">
        <v>12</v>
      </c>
      <c r="H20" s="6">
        <v>6000</v>
      </c>
      <c r="I20" s="1">
        <v>102635.64</v>
      </c>
      <c r="J20" s="1">
        <v>100000</v>
      </c>
      <c r="K20" s="1">
        <v>103616.16</v>
      </c>
      <c r="L20" s="1">
        <v>21831.9</v>
      </c>
      <c r="M20" s="1">
        <v>6419.37</v>
      </c>
      <c r="N20" s="1">
        <v>7458.44</v>
      </c>
      <c r="O20" s="1">
        <f t="shared" ref="O20:O23" si="3">(+N20+M20+L20+K20+I20)/5</f>
        <v>48392.302000000003</v>
      </c>
      <c r="P20" s="1" t="s">
        <v>232</v>
      </c>
    </row>
    <row r="21" spans="4:16" x14ac:dyDescent="0.45">
      <c r="F21" t="s">
        <v>13</v>
      </c>
      <c r="H21" s="6">
        <v>45000</v>
      </c>
      <c r="I21" s="1">
        <v>56303.75</v>
      </c>
      <c r="J21" s="1">
        <v>40000</v>
      </c>
      <c r="K21" s="1">
        <v>38288.160000000003</v>
      </c>
      <c r="L21" s="1">
        <v>41385.919999999998</v>
      </c>
      <c r="M21" s="1">
        <v>39675.03</v>
      </c>
      <c r="N21" s="1">
        <v>40011.279999999999</v>
      </c>
      <c r="O21" s="1">
        <f t="shared" si="3"/>
        <v>43132.828000000001</v>
      </c>
    </row>
    <row r="22" spans="4:16" x14ac:dyDescent="0.45">
      <c r="F22" t="s">
        <v>14</v>
      </c>
      <c r="H22" s="6">
        <v>1800</v>
      </c>
      <c r="I22" s="1">
        <v>1833.81</v>
      </c>
      <c r="J22" s="1">
        <v>1800</v>
      </c>
      <c r="K22" s="1">
        <v>1834.15</v>
      </c>
      <c r="L22" s="1">
        <v>1813.73</v>
      </c>
      <c r="M22" s="1">
        <v>1835.67</v>
      </c>
      <c r="N22" s="1">
        <v>1834.12</v>
      </c>
      <c r="O22" s="1">
        <f t="shared" si="3"/>
        <v>1830.2959999999998</v>
      </c>
    </row>
    <row r="23" spans="4:16" x14ac:dyDescent="0.45">
      <c r="E23" t="s">
        <v>15</v>
      </c>
      <c r="H23" s="6">
        <f>SUM(H20:H22)</f>
        <v>52800</v>
      </c>
      <c r="I23" s="1">
        <v>160773.20000000001</v>
      </c>
      <c r="J23" s="1">
        <f>SUM(J20:J22)</f>
        <v>141800</v>
      </c>
      <c r="K23" s="1">
        <v>143738.47</v>
      </c>
      <c r="L23" s="1">
        <f>SUM(L20:L22)</f>
        <v>65031.55</v>
      </c>
      <c r="M23" s="1">
        <f>SUM(M20:M22)</f>
        <v>47930.07</v>
      </c>
      <c r="N23" s="1">
        <f>SUM(N20:N22)</f>
        <v>49303.840000000004</v>
      </c>
      <c r="O23" s="1">
        <f t="shared" si="3"/>
        <v>93355.426000000007</v>
      </c>
    </row>
    <row r="24" spans="4:16" x14ac:dyDescent="0.45">
      <c r="E24" t="s">
        <v>225</v>
      </c>
      <c r="H24" s="6">
        <v>0</v>
      </c>
      <c r="I24" s="1">
        <v>6030</v>
      </c>
      <c r="K24" s="1"/>
      <c r="L24" s="1"/>
      <c r="M24" s="1"/>
    </row>
    <row r="25" spans="4:16" x14ac:dyDescent="0.45">
      <c r="D25" t="s">
        <v>16</v>
      </c>
      <c r="H25" s="6">
        <f>H23</f>
        <v>52800</v>
      </c>
      <c r="I25" s="1">
        <v>166803.20000000001</v>
      </c>
      <c r="J25" s="1">
        <f>J23</f>
        <v>141800</v>
      </c>
      <c r="K25" s="1">
        <v>143738.47</v>
      </c>
      <c r="L25" s="1">
        <f>L23</f>
        <v>65031.55</v>
      </c>
      <c r="M25" s="1">
        <f>M23</f>
        <v>47930.07</v>
      </c>
      <c r="N25" s="1">
        <f>N23</f>
        <v>49303.840000000004</v>
      </c>
      <c r="O25" s="1">
        <f>(+N25+M25+L25+K25+I25)/5</f>
        <v>94561.426000000007</v>
      </c>
    </row>
    <row r="26" spans="4:16" x14ac:dyDescent="0.45">
      <c r="D26" t="s">
        <v>17</v>
      </c>
      <c r="H26" s="6"/>
      <c r="K26" s="1"/>
      <c r="L26" s="1"/>
      <c r="M26" s="1"/>
    </row>
    <row r="27" spans="4:16" x14ac:dyDescent="0.45">
      <c r="E27" t="s">
        <v>18</v>
      </c>
      <c r="H27" s="6"/>
      <c r="K27" s="1"/>
      <c r="L27" s="1"/>
      <c r="M27" s="1"/>
    </row>
    <row r="28" spans="4:16" x14ac:dyDescent="0.45">
      <c r="F28" t="s">
        <v>19</v>
      </c>
      <c r="H28" s="6">
        <v>0</v>
      </c>
      <c r="I28" s="1">
        <v>0</v>
      </c>
      <c r="J28" s="1">
        <v>0</v>
      </c>
      <c r="K28" s="1">
        <v>0</v>
      </c>
      <c r="L28" s="1">
        <v>8</v>
      </c>
      <c r="M28" s="1">
        <v>4</v>
      </c>
      <c r="N28" s="1">
        <v>6</v>
      </c>
      <c r="O28" s="1">
        <f t="shared" ref="O28:O34" si="4">(+N28+M28+L28+K28+I28)/5</f>
        <v>3.6</v>
      </c>
    </row>
    <row r="29" spans="4:16" x14ac:dyDescent="0.45">
      <c r="G29" t="s">
        <v>235</v>
      </c>
      <c r="H29" s="6">
        <f>1500*50</f>
        <v>75000</v>
      </c>
      <c r="K29" s="1"/>
      <c r="L29" s="1"/>
      <c r="M29" s="1"/>
      <c r="P29" s="1" t="s">
        <v>240</v>
      </c>
    </row>
    <row r="30" spans="4:16" x14ac:dyDescent="0.45">
      <c r="G30" t="s">
        <v>236</v>
      </c>
      <c r="H30" s="6">
        <v>0</v>
      </c>
      <c r="K30" s="1"/>
      <c r="L30" s="1"/>
      <c r="M30" s="1"/>
    </row>
    <row r="31" spans="4:16" x14ac:dyDescent="0.45">
      <c r="F31" t="s">
        <v>20</v>
      </c>
      <c r="H31" s="6">
        <v>9000</v>
      </c>
      <c r="I31" s="1">
        <v>8807.7999999999993</v>
      </c>
      <c r="J31" s="1">
        <v>10000</v>
      </c>
      <c r="K31" s="1">
        <v>22606.799999999999</v>
      </c>
      <c r="L31" s="1">
        <v>7799</v>
      </c>
      <c r="M31" s="1">
        <v>7860.9</v>
      </c>
      <c r="N31" s="1">
        <v>5815.2</v>
      </c>
      <c r="O31" s="1">
        <f t="shared" si="4"/>
        <v>10577.939999999999</v>
      </c>
    </row>
    <row r="32" spans="4:16" x14ac:dyDescent="0.45">
      <c r="F32" t="s">
        <v>21</v>
      </c>
      <c r="H32" s="6">
        <v>1000</v>
      </c>
      <c r="I32" s="1">
        <v>1500</v>
      </c>
      <c r="J32" s="1">
        <v>0</v>
      </c>
      <c r="K32" s="1">
        <v>0</v>
      </c>
      <c r="L32" s="1">
        <v>0</v>
      </c>
      <c r="M32" s="1">
        <v>1500</v>
      </c>
      <c r="N32" s="1">
        <v>2275</v>
      </c>
      <c r="O32" s="1">
        <f t="shared" si="4"/>
        <v>1055</v>
      </c>
    </row>
    <row r="33" spans="3:15" x14ac:dyDescent="0.45">
      <c r="E33" t="s">
        <v>22</v>
      </c>
      <c r="H33" s="6">
        <f>SUM(H28:H32)</f>
        <v>85000</v>
      </c>
      <c r="I33" s="1">
        <v>10307.799999999999</v>
      </c>
      <c r="J33" s="1">
        <f>SUM(J28:J32)</f>
        <v>10000</v>
      </c>
      <c r="K33" s="1">
        <v>22606.799999999999</v>
      </c>
      <c r="L33" s="1">
        <f>SUM(L28:L32)</f>
        <v>7807</v>
      </c>
      <c r="M33" s="1">
        <f>SUM(M28:M32)</f>
        <v>9364.9</v>
      </c>
      <c r="N33" s="1">
        <f>ROUND(SUM(N27:N32),5)</f>
        <v>8096.2</v>
      </c>
      <c r="O33" s="1">
        <f t="shared" si="4"/>
        <v>11636.539999999999</v>
      </c>
    </row>
    <row r="34" spans="3:15" x14ac:dyDescent="0.45">
      <c r="D34" t="s">
        <v>23</v>
      </c>
      <c r="H34" s="6">
        <f>H33</f>
        <v>85000</v>
      </c>
      <c r="I34" s="1">
        <v>10307.799999999999</v>
      </c>
      <c r="J34" s="1">
        <f>J33</f>
        <v>10000</v>
      </c>
      <c r="K34" s="1">
        <v>22606.799999999999</v>
      </c>
      <c r="L34" s="1">
        <f>L33</f>
        <v>7807</v>
      </c>
      <c r="M34" s="1">
        <f>M33</f>
        <v>9364.9</v>
      </c>
      <c r="N34" s="1">
        <f>N33</f>
        <v>8096.2</v>
      </c>
      <c r="O34" s="1">
        <f t="shared" si="4"/>
        <v>11636.539999999999</v>
      </c>
    </row>
    <row r="35" spans="3:15" x14ac:dyDescent="0.45">
      <c r="D35" t="s">
        <v>24</v>
      </c>
      <c r="H35" s="6"/>
      <c r="K35" s="1"/>
      <c r="L35" s="1"/>
      <c r="M35" s="1"/>
    </row>
    <row r="36" spans="3:15" x14ac:dyDescent="0.45">
      <c r="E36" t="s">
        <v>25</v>
      </c>
      <c r="H36" s="6">
        <f>(500000*0.04)+(500000*0.01)</f>
        <v>25000</v>
      </c>
      <c r="I36" s="1">
        <v>4859.63</v>
      </c>
      <c r="J36" s="1">
        <v>3000</v>
      </c>
      <c r="K36" s="1">
        <v>5262.92</v>
      </c>
      <c r="L36" s="1">
        <v>19403.7</v>
      </c>
      <c r="M36" s="1">
        <v>41087.79</v>
      </c>
      <c r="N36" s="1">
        <v>43930.02</v>
      </c>
      <c r="O36" s="1">
        <f t="shared" ref="O36:O40" si="5">(+N36+M36+L36+K36+I36)/5</f>
        <v>22908.811999999998</v>
      </c>
    </row>
    <row r="37" spans="3:15" x14ac:dyDescent="0.45">
      <c r="E37" t="s">
        <v>26</v>
      </c>
      <c r="H37" s="6">
        <v>1000</v>
      </c>
      <c r="J37" s="1">
        <v>1000</v>
      </c>
      <c r="K37" s="1">
        <v>826.3</v>
      </c>
      <c r="L37" s="1">
        <v>0</v>
      </c>
      <c r="M37" s="1">
        <v>1000</v>
      </c>
      <c r="N37" s="1">
        <v>1000</v>
      </c>
      <c r="O37" s="1">
        <f t="shared" si="5"/>
        <v>565.26</v>
      </c>
    </row>
    <row r="38" spans="3:15" x14ac:dyDescent="0.45">
      <c r="E38" t="s">
        <v>27</v>
      </c>
      <c r="H38" s="6">
        <v>500</v>
      </c>
      <c r="I38" s="1">
        <v>36</v>
      </c>
      <c r="J38" s="1">
        <v>500</v>
      </c>
      <c r="K38" s="1">
        <v>0</v>
      </c>
      <c r="L38" s="1">
        <v>484.87</v>
      </c>
      <c r="M38" s="1">
        <v>3871.28</v>
      </c>
      <c r="N38" s="1">
        <v>6671.31</v>
      </c>
      <c r="O38" s="1">
        <f t="shared" si="5"/>
        <v>2212.692</v>
      </c>
    </row>
    <row r="39" spans="3:15" x14ac:dyDescent="0.45">
      <c r="D39" t="s">
        <v>28</v>
      </c>
      <c r="H39" s="6">
        <f>SUM(H36:H38)</f>
        <v>26500</v>
      </c>
      <c r="I39" s="1">
        <v>4895.63</v>
      </c>
      <c r="J39" s="1">
        <f>SUM(J36:J38)</f>
        <v>4500</v>
      </c>
      <c r="K39" s="1">
        <v>6089.22</v>
      </c>
      <c r="L39" s="1">
        <f>SUM(L36:L38)</f>
        <v>19888.57</v>
      </c>
      <c r="M39" s="1">
        <f>SUM(M36:M38)</f>
        <v>45959.07</v>
      </c>
      <c r="N39" s="1">
        <f>SUM(N36:N38)</f>
        <v>51601.329999999994</v>
      </c>
      <c r="O39" s="1">
        <f t="shared" si="5"/>
        <v>25686.764000000003</v>
      </c>
    </row>
    <row r="40" spans="3:15" x14ac:dyDescent="0.45">
      <c r="C40" s="2" t="s">
        <v>158</v>
      </c>
      <c r="H40" s="48">
        <f>ROUND(H11+H14+H17+H25+H34+H39,5)</f>
        <v>579300</v>
      </c>
      <c r="I40" s="43">
        <v>610516.06000000006</v>
      </c>
      <c r="J40" s="43">
        <f>ROUND(J11+J14+J17+J25+J34+J39,5)</f>
        <v>570800</v>
      </c>
      <c r="K40" s="1">
        <v>600593.48</v>
      </c>
      <c r="L40" s="1">
        <f>ROUND(L7+L11+L14+L17+L25+L34+L39,5)</f>
        <v>544745.57999999996</v>
      </c>
      <c r="M40" s="1">
        <f>ROUND(M7+M11+M14+M17+M25+M34+M39,5)</f>
        <v>515380.78</v>
      </c>
      <c r="N40" s="1">
        <f>ROUND(N7+N11+N14+N17+N25+N34+N39,5)</f>
        <v>888351.51</v>
      </c>
      <c r="O40" s="1">
        <f t="shared" si="5"/>
        <v>631917.48200000008</v>
      </c>
    </row>
    <row r="41" spans="3:15" x14ac:dyDescent="0.45">
      <c r="C41" s="2" t="s">
        <v>29</v>
      </c>
      <c r="H41" s="6"/>
      <c r="K41" s="1"/>
      <c r="L41" s="1"/>
      <c r="M41" s="1"/>
    </row>
    <row r="42" spans="3:15" x14ac:dyDescent="0.45">
      <c r="D42" t="s">
        <v>30</v>
      </c>
      <c r="H42" s="6"/>
      <c r="K42" s="1"/>
      <c r="L42" s="1"/>
      <c r="M42" s="1"/>
    </row>
    <row r="43" spans="3:15" x14ac:dyDescent="0.45">
      <c r="E43" s="2" t="s">
        <v>31</v>
      </c>
      <c r="H43" s="6"/>
      <c r="K43" s="1"/>
      <c r="L43" s="1"/>
      <c r="M43" s="1"/>
    </row>
    <row r="44" spans="3:15" x14ac:dyDescent="0.45">
      <c r="F44" t="s">
        <v>32</v>
      </c>
      <c r="H44" s="6"/>
      <c r="K44" s="1"/>
      <c r="L44" s="1"/>
      <c r="M44" s="1"/>
    </row>
    <row r="45" spans="3:15" x14ac:dyDescent="0.45">
      <c r="G45" t="s">
        <v>33</v>
      </c>
      <c r="H45" s="6">
        <v>12500</v>
      </c>
      <c r="I45" s="1">
        <v>17187.5</v>
      </c>
      <c r="J45" s="1">
        <v>12000</v>
      </c>
      <c r="K45" s="1">
        <v>12422.5</v>
      </c>
      <c r="L45" s="1">
        <v>11137.5</v>
      </c>
      <c r="M45" s="1">
        <v>9837.5</v>
      </c>
      <c r="N45" s="1">
        <v>9362.5</v>
      </c>
      <c r="O45" s="1">
        <f t="shared" ref="O45:O50" si="6">(+N45+M45+L45+K45+I45)/5</f>
        <v>11989.5</v>
      </c>
    </row>
    <row r="46" spans="3:15" x14ac:dyDescent="0.45">
      <c r="G46" t="s">
        <v>34</v>
      </c>
      <c r="H46" s="6">
        <v>300</v>
      </c>
      <c r="I46" s="1">
        <v>304.32499999999999</v>
      </c>
      <c r="J46" s="1">
        <v>300</v>
      </c>
      <c r="K46" s="1">
        <v>263.2</v>
      </c>
      <c r="L46" s="1">
        <v>49.88</v>
      </c>
      <c r="M46" s="1">
        <v>313.77999999999997</v>
      </c>
      <c r="N46" s="1">
        <v>1935.88</v>
      </c>
      <c r="O46" s="1">
        <f t="shared" si="6"/>
        <v>573.4129999999999</v>
      </c>
    </row>
    <row r="47" spans="3:15" x14ac:dyDescent="0.45">
      <c r="G47" t="s">
        <v>35</v>
      </c>
      <c r="H47" s="6">
        <f>+H45*0.0765</f>
        <v>956.25</v>
      </c>
      <c r="I47" s="1">
        <v>1398.5249999999999</v>
      </c>
      <c r="J47" s="1">
        <f>+J45*0.0765</f>
        <v>918</v>
      </c>
      <c r="K47" s="1">
        <v>915.15</v>
      </c>
      <c r="L47" s="1">
        <v>843.61</v>
      </c>
      <c r="M47" s="1">
        <v>752.57</v>
      </c>
      <c r="N47" s="1">
        <v>1661.24</v>
      </c>
      <c r="O47" s="1">
        <f t="shared" si="6"/>
        <v>1114.2189999999998</v>
      </c>
    </row>
    <row r="48" spans="3:15" x14ac:dyDescent="0.45">
      <c r="G48" t="s">
        <v>36</v>
      </c>
      <c r="H48" s="6">
        <v>0</v>
      </c>
      <c r="I48" s="1">
        <v>0</v>
      </c>
      <c r="J48" s="1">
        <v>0</v>
      </c>
      <c r="K48" s="1">
        <v>0</v>
      </c>
      <c r="L48" s="1">
        <v>30.54</v>
      </c>
      <c r="M48" s="1">
        <v>32.36</v>
      </c>
      <c r="N48" s="1">
        <v>37.659999999999997</v>
      </c>
      <c r="O48" s="1">
        <f t="shared" si="6"/>
        <v>20.112000000000002</v>
      </c>
    </row>
    <row r="49" spans="5:16" x14ac:dyDescent="0.45">
      <c r="F49" t="s">
        <v>37</v>
      </c>
      <c r="H49" s="6">
        <f>SUM(H45:H48)</f>
        <v>13756.25</v>
      </c>
      <c r="I49" s="1">
        <v>18890.349999999999</v>
      </c>
      <c r="J49" s="1">
        <f>SUM(J45:J48)</f>
        <v>13218</v>
      </c>
      <c r="K49" s="1">
        <v>13600.85</v>
      </c>
      <c r="L49" s="1">
        <f>SUM(L45:L48)</f>
        <v>12061.53</v>
      </c>
      <c r="M49" s="1">
        <f>SUM(M45:M48)</f>
        <v>10936.210000000001</v>
      </c>
      <c r="N49" s="1">
        <f>ROUND(SUM(N44:N48),5)</f>
        <v>12997.28</v>
      </c>
      <c r="O49" s="1">
        <f t="shared" si="6"/>
        <v>13697.244000000001</v>
      </c>
    </row>
    <row r="50" spans="5:16" x14ac:dyDescent="0.45">
      <c r="E50" t="s">
        <v>38</v>
      </c>
      <c r="H50" s="40">
        <f>H49</f>
        <v>13756.25</v>
      </c>
      <c r="I50" s="1">
        <v>18890.349999999999</v>
      </c>
      <c r="J50" s="1">
        <f>J49</f>
        <v>13218</v>
      </c>
      <c r="K50" s="1">
        <v>13600.85</v>
      </c>
      <c r="L50" s="1">
        <f>L49</f>
        <v>12061.53</v>
      </c>
      <c r="M50" s="1">
        <f>M49</f>
        <v>10936.210000000001</v>
      </c>
      <c r="N50" s="1">
        <f>ROUND(N43+N49,5)</f>
        <v>12997.28</v>
      </c>
      <c r="O50" s="1">
        <f t="shared" si="6"/>
        <v>13697.244000000001</v>
      </c>
    </row>
    <row r="51" spans="5:16" x14ac:dyDescent="0.45">
      <c r="E51" s="2" t="s">
        <v>39</v>
      </c>
      <c r="H51" s="6"/>
      <c r="K51" s="1"/>
      <c r="L51" s="1"/>
      <c r="M51" s="1"/>
    </row>
    <row r="52" spans="5:16" x14ac:dyDescent="0.45">
      <c r="F52" t="s">
        <v>40</v>
      </c>
      <c r="H52" s="6">
        <v>15000</v>
      </c>
      <c r="I52" s="1">
        <v>15453.125</v>
      </c>
      <c r="J52" s="1">
        <v>15000</v>
      </c>
      <c r="K52" s="1">
        <v>13212.5</v>
      </c>
      <c r="L52" s="1">
        <v>25762.5</v>
      </c>
      <c r="M52" s="1">
        <v>27122.5</v>
      </c>
      <c r="N52" s="1">
        <v>15825</v>
      </c>
      <c r="O52" s="1">
        <f t="shared" ref="O52:O57" si="7">(+N52+M52+L52+K52+I52)/5</f>
        <v>19475.125</v>
      </c>
    </row>
    <row r="53" spans="5:16" x14ac:dyDescent="0.45">
      <c r="F53" t="s">
        <v>127</v>
      </c>
      <c r="H53" s="6">
        <v>2000</v>
      </c>
      <c r="I53" s="1">
        <v>2174.125</v>
      </c>
      <c r="J53" s="1">
        <v>800</v>
      </c>
      <c r="K53" s="1">
        <v>961.03</v>
      </c>
      <c r="L53" s="1">
        <v>829.33</v>
      </c>
      <c r="M53" s="1">
        <v>482.52</v>
      </c>
      <c r="N53" s="1">
        <v>0</v>
      </c>
      <c r="O53" s="1">
        <f t="shared" si="7"/>
        <v>889.40100000000007</v>
      </c>
    </row>
    <row r="54" spans="5:16" x14ac:dyDescent="0.45">
      <c r="F54" t="s">
        <v>41</v>
      </c>
      <c r="H54" s="6">
        <f>H52*0.05</f>
        <v>750</v>
      </c>
      <c r="I54" s="1">
        <v>772.6875</v>
      </c>
      <c r="J54" s="1">
        <f>J52*0.05</f>
        <v>750</v>
      </c>
      <c r="K54" s="1">
        <v>660.64</v>
      </c>
      <c r="L54" s="1">
        <v>1260.9000000000001</v>
      </c>
      <c r="M54" s="1">
        <v>1352.41</v>
      </c>
      <c r="N54" s="1">
        <v>1087.27</v>
      </c>
      <c r="O54" s="1">
        <f t="shared" si="7"/>
        <v>1026.7815000000001</v>
      </c>
    </row>
    <row r="55" spans="5:16" x14ac:dyDescent="0.45">
      <c r="F55" t="s">
        <v>42</v>
      </c>
      <c r="H55" s="6">
        <f>H52*0.0765</f>
        <v>1147.5</v>
      </c>
      <c r="I55" s="1">
        <v>1182.1624999999999</v>
      </c>
      <c r="J55" s="1">
        <f>J52*0.0765</f>
        <v>1147.5</v>
      </c>
      <c r="K55" s="1">
        <v>1045.95</v>
      </c>
      <c r="L55" s="1">
        <v>1930.67</v>
      </c>
      <c r="M55" s="1">
        <v>2069.14</v>
      </c>
      <c r="N55" s="1">
        <v>1060.93</v>
      </c>
      <c r="O55" s="1">
        <f t="shared" si="7"/>
        <v>1457.7704999999999</v>
      </c>
    </row>
    <row r="56" spans="5:16" x14ac:dyDescent="0.45">
      <c r="F56" t="s">
        <v>43</v>
      </c>
      <c r="H56" s="6">
        <v>0</v>
      </c>
      <c r="I56" s="1">
        <v>3526.38</v>
      </c>
      <c r="J56" s="1">
        <v>3000</v>
      </c>
      <c r="K56" s="1">
        <v>0</v>
      </c>
      <c r="L56" s="1">
        <v>4809.63</v>
      </c>
      <c r="M56" s="1">
        <v>3687.28</v>
      </c>
      <c r="N56" s="1">
        <v>3464.9</v>
      </c>
      <c r="O56" s="1">
        <f t="shared" si="7"/>
        <v>3097.6380000000004</v>
      </c>
    </row>
    <row r="57" spans="5:16" x14ac:dyDescent="0.45">
      <c r="F57" t="s">
        <v>44</v>
      </c>
      <c r="H57" s="6">
        <v>100</v>
      </c>
      <c r="J57" s="1">
        <v>100</v>
      </c>
      <c r="K57" s="1">
        <v>0</v>
      </c>
      <c r="L57" s="1">
        <v>0</v>
      </c>
      <c r="M57" s="1">
        <v>56</v>
      </c>
      <c r="N57" s="1">
        <v>47.38</v>
      </c>
      <c r="O57" s="1">
        <f t="shared" si="7"/>
        <v>20.675999999999998</v>
      </c>
    </row>
    <row r="58" spans="5:16" x14ac:dyDescent="0.45">
      <c r="F58" t="s">
        <v>45</v>
      </c>
      <c r="H58" s="6"/>
      <c r="K58" s="1"/>
      <c r="L58" s="1"/>
      <c r="M58" s="1"/>
    </row>
    <row r="59" spans="5:16" x14ac:dyDescent="0.45">
      <c r="G59" t="s">
        <v>46</v>
      </c>
      <c r="H59" s="6">
        <v>405</v>
      </c>
      <c r="I59" s="1">
        <v>405</v>
      </c>
      <c r="J59" s="1">
        <v>405</v>
      </c>
      <c r="K59" s="1">
        <v>405</v>
      </c>
      <c r="L59" s="1">
        <v>400</v>
      </c>
      <c r="M59" s="1">
        <v>405</v>
      </c>
      <c r="N59" s="1">
        <v>405</v>
      </c>
      <c r="O59" s="1">
        <f t="shared" ref="O59:O86" si="8">(+N59+M59+L59+K59+I59)/5</f>
        <v>404</v>
      </c>
    </row>
    <row r="60" spans="5:16" x14ac:dyDescent="0.45">
      <c r="G60" t="s">
        <v>128</v>
      </c>
      <c r="H60" s="46">
        <v>2000</v>
      </c>
      <c r="I60" s="1">
        <v>5250</v>
      </c>
      <c r="J60" s="1">
        <v>5250</v>
      </c>
      <c r="K60" s="1">
        <v>5021</v>
      </c>
      <c r="L60" s="1">
        <v>5632</v>
      </c>
      <c r="M60" s="1">
        <v>5032</v>
      </c>
      <c r="N60" s="1">
        <v>3782</v>
      </c>
      <c r="O60" s="1">
        <f t="shared" si="8"/>
        <v>4943.3999999999996</v>
      </c>
    </row>
    <row r="61" spans="5:16" x14ac:dyDescent="0.45">
      <c r="G61" t="s">
        <v>47</v>
      </c>
      <c r="H61" s="6">
        <v>100</v>
      </c>
      <c r="I61" s="1">
        <v>36.974999999999994</v>
      </c>
      <c r="J61" s="1">
        <v>250</v>
      </c>
      <c r="K61" s="1">
        <v>68.64</v>
      </c>
      <c r="L61" s="1">
        <v>215.03</v>
      </c>
      <c r="M61" s="1">
        <v>336.99</v>
      </c>
      <c r="N61" s="1">
        <v>642.91</v>
      </c>
      <c r="O61" s="1">
        <f t="shared" si="8"/>
        <v>260.10900000000004</v>
      </c>
    </row>
    <row r="62" spans="5:16" x14ac:dyDescent="0.45">
      <c r="G62" t="s">
        <v>48</v>
      </c>
      <c r="H62" s="6">
        <v>300</v>
      </c>
      <c r="I62" s="1">
        <v>64.3</v>
      </c>
      <c r="J62" s="1">
        <v>500</v>
      </c>
      <c r="K62" s="1">
        <v>207.28</v>
      </c>
      <c r="L62" s="1">
        <v>55.82</v>
      </c>
      <c r="M62" s="1">
        <v>749.33</v>
      </c>
      <c r="N62" s="1">
        <v>420.65</v>
      </c>
      <c r="O62" s="1">
        <f t="shared" si="8"/>
        <v>299.476</v>
      </c>
    </row>
    <row r="63" spans="5:16" x14ac:dyDescent="0.45">
      <c r="G63" t="s">
        <v>49</v>
      </c>
      <c r="H63" s="6">
        <v>1500</v>
      </c>
      <c r="I63" s="1">
        <v>1969.125</v>
      </c>
      <c r="J63" s="1">
        <v>2500</v>
      </c>
      <c r="K63" s="1">
        <v>1022</v>
      </c>
      <c r="L63" s="1">
        <v>987.96</v>
      </c>
      <c r="M63" s="1">
        <v>819.54</v>
      </c>
      <c r="N63" s="1">
        <v>2181.46</v>
      </c>
      <c r="O63" s="1">
        <f t="shared" si="8"/>
        <v>1396.0170000000001</v>
      </c>
      <c r="P63" s="1" t="s">
        <v>227</v>
      </c>
    </row>
    <row r="64" spans="5:16" x14ac:dyDescent="0.45">
      <c r="G64" t="s">
        <v>50</v>
      </c>
      <c r="H64" s="6">
        <v>250</v>
      </c>
      <c r="I64" s="1">
        <v>28.112499999999997</v>
      </c>
      <c r="J64" s="1">
        <v>250</v>
      </c>
      <c r="K64" s="1">
        <v>629.70000000000005</v>
      </c>
      <c r="L64" s="1">
        <v>69.34</v>
      </c>
      <c r="M64" s="1">
        <v>496.29</v>
      </c>
      <c r="N64" s="1">
        <v>391.08</v>
      </c>
      <c r="O64" s="1">
        <f t="shared" si="8"/>
        <v>322.90449999999998</v>
      </c>
    </row>
    <row r="65" spans="7:16" x14ac:dyDescent="0.45">
      <c r="G65" t="s">
        <v>51</v>
      </c>
      <c r="H65" s="6">
        <v>300</v>
      </c>
      <c r="I65" s="1">
        <v>210</v>
      </c>
      <c r="J65" s="1">
        <v>300</v>
      </c>
      <c r="K65" s="1">
        <v>180</v>
      </c>
      <c r="L65" s="1">
        <v>150</v>
      </c>
      <c r="M65" s="1">
        <v>405</v>
      </c>
      <c r="N65" s="1">
        <v>185</v>
      </c>
      <c r="O65" s="1">
        <f t="shared" si="8"/>
        <v>226</v>
      </c>
    </row>
    <row r="66" spans="7:16" x14ac:dyDescent="0.45">
      <c r="G66" t="s">
        <v>52</v>
      </c>
      <c r="H66" s="6">
        <v>250</v>
      </c>
      <c r="I66" s="1">
        <v>5.59</v>
      </c>
      <c r="J66" s="1">
        <v>250</v>
      </c>
      <c r="K66" s="1">
        <v>0</v>
      </c>
      <c r="L66" s="1">
        <v>195</v>
      </c>
      <c r="M66" s="1">
        <v>252.49</v>
      </c>
      <c r="N66" s="1">
        <v>258.76</v>
      </c>
      <c r="O66" s="1">
        <f t="shared" si="8"/>
        <v>142.36799999999999</v>
      </c>
    </row>
    <row r="67" spans="7:16" x14ac:dyDescent="0.45">
      <c r="G67" t="s">
        <v>53</v>
      </c>
      <c r="H67" s="6">
        <v>150</v>
      </c>
      <c r="I67" s="1">
        <v>0</v>
      </c>
      <c r="J67" s="1">
        <v>150</v>
      </c>
      <c r="K67" s="1">
        <v>0</v>
      </c>
      <c r="L67" s="1">
        <v>150.1</v>
      </c>
      <c r="M67" s="1">
        <v>184.01</v>
      </c>
      <c r="N67" s="1">
        <v>575.70000000000005</v>
      </c>
      <c r="O67" s="1">
        <f t="shared" si="8"/>
        <v>181.96200000000002</v>
      </c>
    </row>
    <row r="68" spans="7:16" x14ac:dyDescent="0.45">
      <c r="G68" t="s">
        <v>213</v>
      </c>
      <c r="H68" s="6">
        <v>1300</v>
      </c>
      <c r="I68" s="1">
        <v>2464.63</v>
      </c>
      <c r="J68" s="1">
        <v>1000</v>
      </c>
      <c r="K68" s="1">
        <v>1604.25</v>
      </c>
      <c r="L68" s="1">
        <v>1043.9100000000001</v>
      </c>
      <c r="M68" s="1">
        <v>1978.98</v>
      </c>
      <c r="N68" s="1">
        <v>1988.45</v>
      </c>
      <c r="O68" s="1">
        <f t="shared" si="8"/>
        <v>1816.0440000000003</v>
      </c>
    </row>
    <row r="69" spans="7:16" x14ac:dyDescent="0.45">
      <c r="G69" t="s">
        <v>54</v>
      </c>
      <c r="H69" s="6">
        <f>120*12</f>
        <v>1440</v>
      </c>
      <c r="I69" s="1">
        <v>1350</v>
      </c>
      <c r="J69" s="1">
        <f>120*12</f>
        <v>1440</v>
      </c>
      <c r="K69" s="1">
        <v>1521.48</v>
      </c>
      <c r="L69" s="1">
        <v>1641.2</v>
      </c>
      <c r="M69" s="1">
        <v>1995.53</v>
      </c>
      <c r="N69" s="1">
        <v>1893.86</v>
      </c>
      <c r="O69" s="1">
        <f t="shared" si="8"/>
        <v>1680.414</v>
      </c>
      <c r="P69" s="1" t="s">
        <v>211</v>
      </c>
    </row>
    <row r="70" spans="7:16" x14ac:dyDescent="0.45">
      <c r="G70" t="s">
        <v>55</v>
      </c>
      <c r="H70" s="6">
        <v>250</v>
      </c>
      <c r="I70" s="1">
        <v>154.22499999999999</v>
      </c>
      <c r="J70" s="1">
        <v>3000</v>
      </c>
      <c r="K70" s="1">
        <v>137.69999999999999</v>
      </c>
      <c r="L70" s="1">
        <v>180.32</v>
      </c>
      <c r="M70" s="1">
        <v>233.41</v>
      </c>
      <c r="N70" s="1">
        <v>389.09</v>
      </c>
      <c r="O70" s="1">
        <f t="shared" si="8"/>
        <v>218.94899999999998</v>
      </c>
      <c r="P70" s="1" t="s">
        <v>228</v>
      </c>
    </row>
    <row r="71" spans="7:16" x14ac:dyDescent="0.45">
      <c r="G71" t="s">
        <v>56</v>
      </c>
      <c r="H71" s="6">
        <v>1200</v>
      </c>
      <c r="I71" s="1">
        <v>1086.3375000000001</v>
      </c>
      <c r="J71" s="1">
        <v>1200</v>
      </c>
      <c r="K71" s="1">
        <v>2411.4299999999998</v>
      </c>
      <c r="L71" s="1">
        <v>1353.74</v>
      </c>
      <c r="M71" s="1">
        <v>1110.44</v>
      </c>
      <c r="N71" s="1">
        <v>1251.1099999999999</v>
      </c>
      <c r="O71" s="1">
        <f t="shared" si="8"/>
        <v>1442.6114999999998</v>
      </c>
    </row>
    <row r="72" spans="7:16" x14ac:dyDescent="0.45">
      <c r="G72" t="s">
        <v>57</v>
      </c>
      <c r="H72" s="6">
        <v>500</v>
      </c>
      <c r="I72" s="1">
        <v>250</v>
      </c>
      <c r="J72" s="1">
        <v>1000</v>
      </c>
      <c r="K72" s="1">
        <v>0</v>
      </c>
      <c r="L72" s="1"/>
      <c r="M72" s="1"/>
      <c r="N72" s="1">
        <v>110.52</v>
      </c>
      <c r="O72" s="1">
        <f t="shared" si="8"/>
        <v>72.103999999999999</v>
      </c>
    </row>
    <row r="73" spans="7:16" x14ac:dyDescent="0.45">
      <c r="G73" t="s">
        <v>58</v>
      </c>
      <c r="H73" s="6">
        <v>2500</v>
      </c>
      <c r="I73" s="1">
        <v>3021.3999999999996</v>
      </c>
      <c r="J73" s="1">
        <v>3000</v>
      </c>
      <c r="K73" s="1">
        <v>1494.27</v>
      </c>
      <c r="L73" s="1">
        <v>3214.96</v>
      </c>
      <c r="M73" s="1">
        <v>2081.48</v>
      </c>
      <c r="N73" s="1">
        <v>3358.69</v>
      </c>
      <c r="O73" s="1">
        <f t="shared" si="8"/>
        <v>2634.1600000000003</v>
      </c>
      <c r="P73" s="1" t="s">
        <v>173</v>
      </c>
    </row>
    <row r="74" spans="7:16" x14ac:dyDescent="0.45">
      <c r="G74" t="s">
        <v>59</v>
      </c>
      <c r="H74" s="6">
        <v>3250</v>
      </c>
      <c r="I74" s="1">
        <v>3334</v>
      </c>
      <c r="J74" s="1">
        <v>3250</v>
      </c>
      <c r="K74" s="1">
        <v>2916</v>
      </c>
      <c r="L74" s="1">
        <v>4374</v>
      </c>
      <c r="M74" s="1">
        <v>3796</v>
      </c>
      <c r="N74" s="1">
        <v>3319</v>
      </c>
      <c r="O74" s="1">
        <f t="shared" si="8"/>
        <v>3547.8</v>
      </c>
    </row>
    <row r="75" spans="7:16" x14ac:dyDescent="0.45">
      <c r="G75" t="s">
        <v>60</v>
      </c>
      <c r="H75" s="6">
        <v>3000</v>
      </c>
      <c r="I75" s="1">
        <v>2792.5</v>
      </c>
      <c r="J75" s="1">
        <v>3500</v>
      </c>
      <c r="K75" s="1">
        <v>2844.53</v>
      </c>
      <c r="L75" s="1">
        <v>3212.48</v>
      </c>
      <c r="M75" s="1">
        <v>3423.63</v>
      </c>
      <c r="N75" s="1">
        <v>3459.67</v>
      </c>
      <c r="O75" s="1">
        <f t="shared" si="8"/>
        <v>3146.5620000000004</v>
      </c>
    </row>
    <row r="76" spans="7:16" x14ac:dyDescent="0.45">
      <c r="G76" t="s">
        <v>61</v>
      </c>
      <c r="H76" s="6">
        <v>5000</v>
      </c>
      <c r="I76" s="1">
        <v>4862.3624999999993</v>
      </c>
      <c r="J76" s="1">
        <v>3000</v>
      </c>
      <c r="K76" s="1">
        <v>2091.5700000000002</v>
      </c>
      <c r="L76" s="1">
        <v>2401.56</v>
      </c>
      <c r="M76" s="1">
        <v>3672.93</v>
      </c>
      <c r="N76" s="1">
        <v>3752.84</v>
      </c>
      <c r="O76" s="1">
        <f t="shared" si="8"/>
        <v>3356.2524999999996</v>
      </c>
    </row>
    <row r="77" spans="7:16" x14ac:dyDescent="0.45">
      <c r="G77" t="s">
        <v>140</v>
      </c>
      <c r="H77" s="6">
        <v>100</v>
      </c>
      <c r="I77" s="1">
        <v>0</v>
      </c>
      <c r="J77" s="1">
        <v>100</v>
      </c>
      <c r="K77" s="1">
        <v>78</v>
      </c>
      <c r="L77" s="1">
        <v>411.13</v>
      </c>
      <c r="M77" s="1">
        <v>18</v>
      </c>
      <c r="O77" s="1">
        <f t="shared" si="8"/>
        <v>101.426</v>
      </c>
    </row>
    <row r="78" spans="7:16" x14ac:dyDescent="0.45">
      <c r="G78" t="s">
        <v>62</v>
      </c>
      <c r="H78" s="6">
        <v>150</v>
      </c>
      <c r="I78" s="1">
        <v>160</v>
      </c>
      <c r="J78" s="1">
        <v>150</v>
      </c>
      <c r="K78" s="1">
        <v>140</v>
      </c>
      <c r="L78" s="1">
        <v>260</v>
      </c>
      <c r="M78" s="1">
        <v>130</v>
      </c>
      <c r="N78" s="1">
        <v>130</v>
      </c>
      <c r="O78" s="1">
        <f t="shared" si="8"/>
        <v>164</v>
      </c>
    </row>
    <row r="79" spans="7:16" x14ac:dyDescent="0.45">
      <c r="G79" t="s">
        <v>63</v>
      </c>
      <c r="H79" s="6">
        <v>5000</v>
      </c>
      <c r="I79" s="1">
        <v>446.06</v>
      </c>
      <c r="J79" s="1">
        <v>5000</v>
      </c>
      <c r="K79" s="1">
        <v>3940</v>
      </c>
      <c r="L79" s="1">
        <v>7150</v>
      </c>
      <c r="M79" s="1">
        <v>2522.85</v>
      </c>
      <c r="N79" s="1">
        <v>7586.5</v>
      </c>
      <c r="O79" s="1">
        <f t="shared" si="8"/>
        <v>4329.0820000000003</v>
      </c>
    </row>
    <row r="80" spans="7:16" x14ac:dyDescent="0.45">
      <c r="G80" t="s">
        <v>64</v>
      </c>
      <c r="H80" s="6">
        <v>350</v>
      </c>
      <c r="I80" s="1">
        <v>125</v>
      </c>
      <c r="J80" s="1">
        <v>350</v>
      </c>
      <c r="K80" s="1">
        <v>125</v>
      </c>
      <c r="L80" s="1">
        <v>319.95</v>
      </c>
      <c r="M80" s="1">
        <v>400</v>
      </c>
      <c r="N80" s="1">
        <v>780</v>
      </c>
      <c r="O80" s="1">
        <f t="shared" si="8"/>
        <v>349.99</v>
      </c>
    </row>
    <row r="81" spans="5:16" x14ac:dyDescent="0.45">
      <c r="G81" t="s">
        <v>65</v>
      </c>
      <c r="H81" s="6">
        <v>1500</v>
      </c>
      <c r="I81" s="1">
        <v>1067.6600000000001</v>
      </c>
      <c r="J81" s="1">
        <v>1500</v>
      </c>
      <c r="K81" s="1">
        <v>1121.73</v>
      </c>
      <c r="L81" s="1">
        <v>1393.77</v>
      </c>
      <c r="M81" s="1">
        <v>1087.17</v>
      </c>
      <c r="N81" s="1">
        <v>1457.6</v>
      </c>
      <c r="O81" s="1">
        <f t="shared" si="8"/>
        <v>1225.586</v>
      </c>
    </row>
    <row r="82" spans="5:16" x14ac:dyDescent="0.45">
      <c r="G82" t="s">
        <v>66</v>
      </c>
      <c r="H82" s="6">
        <v>1000</v>
      </c>
      <c r="I82" s="1">
        <v>100</v>
      </c>
      <c r="J82" s="1">
        <v>2000</v>
      </c>
      <c r="K82" s="1">
        <v>1000</v>
      </c>
      <c r="L82" s="1">
        <v>500</v>
      </c>
      <c r="M82" s="1">
        <v>1000</v>
      </c>
      <c r="N82" s="1">
        <v>1000</v>
      </c>
      <c r="O82" s="1">
        <f t="shared" si="8"/>
        <v>720</v>
      </c>
    </row>
    <row r="83" spans="5:16" x14ac:dyDescent="0.45">
      <c r="G83" t="s">
        <v>67</v>
      </c>
      <c r="H83" s="6">
        <v>1000</v>
      </c>
      <c r="I83" s="1">
        <v>1939.85</v>
      </c>
      <c r="J83" s="1">
        <v>1000</v>
      </c>
      <c r="K83" s="1">
        <v>109.41</v>
      </c>
      <c r="L83" s="1">
        <v>11170.17</v>
      </c>
      <c r="M83" s="1">
        <v>1013.55</v>
      </c>
      <c r="N83" s="1">
        <v>1056.24</v>
      </c>
      <c r="O83" s="1">
        <f t="shared" si="8"/>
        <v>3057.8440000000001</v>
      </c>
    </row>
    <row r="84" spans="5:16" x14ac:dyDescent="0.45">
      <c r="G84" t="s">
        <v>68</v>
      </c>
      <c r="H84" s="6">
        <v>250</v>
      </c>
      <c r="I84" s="1">
        <v>14.93</v>
      </c>
      <c r="J84" s="1">
        <v>250</v>
      </c>
      <c r="K84" s="1">
        <v>100</v>
      </c>
      <c r="L84" s="1">
        <v>25</v>
      </c>
      <c r="M84" s="1">
        <v>120</v>
      </c>
      <c r="N84" s="1">
        <v>268.25</v>
      </c>
      <c r="O84" s="1">
        <f t="shared" si="8"/>
        <v>105.636</v>
      </c>
    </row>
    <row r="85" spans="5:16" x14ac:dyDescent="0.45">
      <c r="F85" t="s">
        <v>69</v>
      </c>
      <c r="H85" s="6">
        <f>SUM(H59:H84)</f>
        <v>33045</v>
      </c>
      <c r="I85" s="1">
        <v>31479.807499999999</v>
      </c>
      <c r="J85" s="1">
        <f>SUM(J59:J84)</f>
        <v>40595</v>
      </c>
      <c r="K85" s="1">
        <v>29168.99</v>
      </c>
      <c r="L85" s="1">
        <f>SUM(L59:L84)</f>
        <v>46507.439999999995</v>
      </c>
      <c r="M85" s="1">
        <f>SUM(M59:M84)</f>
        <v>33264.620000000003</v>
      </c>
      <c r="N85" s="1">
        <f>SUM(N59:N84)</f>
        <v>40644.380000000005</v>
      </c>
      <c r="O85" s="1">
        <f t="shared" si="8"/>
        <v>36213.047500000001</v>
      </c>
    </row>
    <row r="86" spans="5:16" x14ac:dyDescent="0.45">
      <c r="E86" t="s">
        <v>70</v>
      </c>
      <c r="H86" s="40">
        <f>SUM(H52:H57)+H85</f>
        <v>52042.5</v>
      </c>
      <c r="I86" s="43">
        <v>54588.287499999999</v>
      </c>
      <c r="J86" s="43">
        <f>SUM(J52:J57)+J85</f>
        <v>61392.5</v>
      </c>
      <c r="K86" s="1">
        <v>45049.11</v>
      </c>
      <c r="L86" s="1">
        <f>SUM(L52:L57)+L85</f>
        <v>81100.47</v>
      </c>
      <c r="M86" s="1">
        <f>SUM(M52:M57)+M85</f>
        <v>68034.47</v>
      </c>
      <c r="N86" s="1">
        <f>SUM(N52:N57)+N85</f>
        <v>62129.860000000008</v>
      </c>
      <c r="O86" s="1">
        <f t="shared" si="8"/>
        <v>62180.4395</v>
      </c>
    </row>
    <row r="87" spans="5:16" x14ac:dyDescent="0.45">
      <c r="E87" s="2" t="s">
        <v>71</v>
      </c>
      <c r="H87" s="6"/>
      <c r="K87" s="1"/>
      <c r="L87" s="1"/>
      <c r="M87" s="1"/>
    </row>
    <row r="88" spans="5:16" x14ac:dyDescent="0.45">
      <c r="F88" t="s">
        <v>72</v>
      </c>
      <c r="H88" s="6">
        <v>0</v>
      </c>
      <c r="I88" s="1">
        <v>0</v>
      </c>
      <c r="J88" s="1">
        <v>0</v>
      </c>
      <c r="K88" s="1">
        <v>0</v>
      </c>
      <c r="L88" s="1"/>
      <c r="M88" s="1"/>
      <c r="N88" s="1">
        <v>8500</v>
      </c>
      <c r="O88" s="1">
        <f>(+N88+M88+L88+K88+I88)/5</f>
        <v>1700</v>
      </c>
      <c r="P88" s="1" t="s">
        <v>151</v>
      </c>
    </row>
    <row r="89" spans="5:16" x14ac:dyDescent="0.45">
      <c r="F89" t="s">
        <v>73</v>
      </c>
      <c r="H89" s="6"/>
      <c r="K89" s="1"/>
      <c r="L89" s="1"/>
      <c r="M89" s="1"/>
    </row>
    <row r="90" spans="5:16" x14ac:dyDescent="0.45">
      <c r="G90" t="s">
        <v>74</v>
      </c>
      <c r="H90" s="6">
        <v>7000</v>
      </c>
      <c r="I90" s="1">
        <v>6993.75</v>
      </c>
      <c r="J90" s="1">
        <v>7000</v>
      </c>
      <c r="K90" s="1">
        <v>6930</v>
      </c>
      <c r="L90" s="1">
        <v>7170</v>
      </c>
      <c r="M90" s="1">
        <v>6742.5</v>
      </c>
      <c r="N90" s="1">
        <v>7045</v>
      </c>
      <c r="O90" s="1">
        <f>(+N90+M90+L90+K90+I90)/5</f>
        <v>6976.25</v>
      </c>
    </row>
    <row r="91" spans="5:16" x14ac:dyDescent="0.45">
      <c r="G91" t="s">
        <v>226</v>
      </c>
      <c r="H91" s="6"/>
      <c r="I91" s="1">
        <v>46.59</v>
      </c>
      <c r="K91" s="1"/>
      <c r="L91" s="1"/>
      <c r="M91" s="1"/>
    </row>
    <row r="92" spans="5:16" x14ac:dyDescent="0.45">
      <c r="G92" t="s">
        <v>141</v>
      </c>
      <c r="H92" s="6">
        <f>+H90*0.05</f>
        <v>350</v>
      </c>
      <c r="I92" s="1">
        <v>349.6875</v>
      </c>
      <c r="J92" s="1">
        <f>+J90*0.05</f>
        <v>350</v>
      </c>
      <c r="K92" s="1">
        <v>342.75</v>
      </c>
      <c r="L92" s="1">
        <v>359.5</v>
      </c>
      <c r="M92" s="1">
        <v>337.13</v>
      </c>
      <c r="O92" s="1">
        <f t="shared" ref="O92:O99" si="9">(+N92+M92+L92+K92+I92)/5</f>
        <v>277.81350000000003</v>
      </c>
    </row>
    <row r="93" spans="5:16" x14ac:dyDescent="0.45">
      <c r="G93" t="s">
        <v>75</v>
      </c>
      <c r="H93" s="6">
        <f>+H90*0.0765</f>
        <v>535.5</v>
      </c>
      <c r="I93" s="1">
        <v>535.02499999999998</v>
      </c>
      <c r="J93" s="1">
        <f>+J90*0.0765</f>
        <v>535.5</v>
      </c>
      <c r="K93" s="1">
        <v>524.41</v>
      </c>
      <c r="L93" s="1">
        <v>548.51</v>
      </c>
      <c r="M93" s="1">
        <v>515.80999999999995</v>
      </c>
      <c r="N93" s="1">
        <v>573.37</v>
      </c>
      <c r="O93" s="1">
        <f t="shared" si="9"/>
        <v>539.42499999999995</v>
      </c>
    </row>
    <row r="94" spans="5:16" x14ac:dyDescent="0.45">
      <c r="G94" t="s">
        <v>129</v>
      </c>
      <c r="H94" s="6">
        <v>0</v>
      </c>
      <c r="I94" s="1">
        <v>0</v>
      </c>
      <c r="J94" s="1">
        <v>0</v>
      </c>
      <c r="K94" s="1">
        <v>0</v>
      </c>
      <c r="L94" s="1"/>
      <c r="M94" s="1"/>
      <c r="N94" s="1">
        <v>0</v>
      </c>
      <c r="O94" s="1">
        <f t="shared" si="9"/>
        <v>0</v>
      </c>
    </row>
    <row r="95" spans="5:16" x14ac:dyDescent="0.45">
      <c r="F95" t="s">
        <v>76</v>
      </c>
      <c r="H95" s="6">
        <f>SUM(H90:H94)</f>
        <v>7885.5</v>
      </c>
      <c r="I95" s="1">
        <v>7925.0524999999998</v>
      </c>
      <c r="J95" s="1">
        <f>SUM(J90:J94)</f>
        <v>7885.5</v>
      </c>
      <c r="K95" s="1">
        <v>7797.16</v>
      </c>
      <c r="L95" s="1">
        <f>SUM(L90:L94)</f>
        <v>8078.01</v>
      </c>
      <c r="M95" s="1">
        <f>SUM(M90:M94)</f>
        <v>7595.4400000000005</v>
      </c>
      <c r="N95" s="1">
        <f>SUM(N90:N94)</f>
        <v>7618.37</v>
      </c>
      <c r="O95" s="1">
        <f t="shared" si="9"/>
        <v>7802.8065000000006</v>
      </c>
    </row>
    <row r="96" spans="5:16" x14ac:dyDescent="0.45">
      <c r="F96" t="s">
        <v>77</v>
      </c>
      <c r="H96" s="6">
        <v>16250</v>
      </c>
      <c r="I96" s="1">
        <v>17883.009999999998</v>
      </c>
      <c r="J96" s="1">
        <v>17000</v>
      </c>
      <c r="K96" s="1">
        <v>19367</v>
      </c>
      <c r="L96" s="1">
        <v>22066.39</v>
      </c>
      <c r="M96" s="1">
        <v>21661</v>
      </c>
      <c r="N96" s="1">
        <v>20846.669999999998</v>
      </c>
      <c r="O96" s="1">
        <f t="shared" si="9"/>
        <v>20364.813999999998</v>
      </c>
    </row>
    <row r="97" spans="5:16" x14ac:dyDescent="0.45">
      <c r="F97" t="s">
        <v>130</v>
      </c>
      <c r="H97" s="6">
        <v>0</v>
      </c>
      <c r="I97" s="1">
        <v>0</v>
      </c>
      <c r="J97" s="1">
        <v>0</v>
      </c>
      <c r="K97" s="1">
        <v>0</v>
      </c>
      <c r="L97" s="1"/>
      <c r="M97" s="1"/>
      <c r="N97" s="1">
        <v>2656</v>
      </c>
      <c r="O97" s="1">
        <f t="shared" si="9"/>
        <v>531.20000000000005</v>
      </c>
    </row>
    <row r="98" spans="5:16" x14ac:dyDescent="0.45">
      <c r="E98" t="s">
        <v>78</v>
      </c>
      <c r="H98" s="40">
        <f>H97+H96+H95+H88</f>
        <v>24135.5</v>
      </c>
      <c r="I98" s="1">
        <v>25808.0625</v>
      </c>
      <c r="J98" s="1">
        <f>J97+J96+J95+J88</f>
        <v>24885.5</v>
      </c>
      <c r="K98" s="1">
        <v>27164.16</v>
      </c>
      <c r="L98" s="1">
        <f>L97+L96+L95+L88</f>
        <v>30144.400000000001</v>
      </c>
      <c r="M98" s="1">
        <f>M97+M96+M95+M88</f>
        <v>29256.440000000002</v>
      </c>
      <c r="N98" s="1">
        <f>N97+N96+N95+N88</f>
        <v>39621.039999999994</v>
      </c>
      <c r="O98" s="1">
        <f t="shared" si="9"/>
        <v>30398.820500000002</v>
      </c>
    </row>
    <row r="99" spans="5:16" x14ac:dyDescent="0.45">
      <c r="E99" s="2" t="s">
        <v>79</v>
      </c>
      <c r="H99" s="44">
        <v>0</v>
      </c>
      <c r="I99" s="43">
        <v>0</v>
      </c>
      <c r="J99" s="43">
        <v>0</v>
      </c>
      <c r="K99" s="1">
        <v>4856.25</v>
      </c>
      <c r="L99" s="1">
        <v>8318.6</v>
      </c>
      <c r="M99" s="1">
        <v>9223.36</v>
      </c>
      <c r="N99" s="1">
        <v>40965.71</v>
      </c>
      <c r="O99" s="1">
        <f t="shared" si="9"/>
        <v>12672.784</v>
      </c>
    </row>
    <row r="100" spans="5:16" x14ac:dyDescent="0.45">
      <c r="E100" s="2"/>
      <c r="G100" t="s">
        <v>219</v>
      </c>
      <c r="H100" s="44">
        <v>5000</v>
      </c>
      <c r="I100" s="43">
        <v>14502.125</v>
      </c>
      <c r="J100" s="43">
        <v>4000</v>
      </c>
      <c r="K100" s="1">
        <v>0</v>
      </c>
      <c r="L100" s="1"/>
      <c r="M100" s="1"/>
    </row>
    <row r="101" spans="5:16" x14ac:dyDescent="0.45">
      <c r="E101" s="2"/>
      <c r="G101" t="s">
        <v>220</v>
      </c>
      <c r="H101" s="44">
        <v>15000</v>
      </c>
      <c r="I101" s="43">
        <v>20218.599999999999</v>
      </c>
      <c r="J101" s="43">
        <v>10000</v>
      </c>
      <c r="K101" s="1">
        <v>0</v>
      </c>
      <c r="L101" s="1"/>
      <c r="M101" s="1"/>
      <c r="P101" s="1" t="s">
        <v>237</v>
      </c>
    </row>
    <row r="102" spans="5:16" x14ac:dyDescent="0.45">
      <c r="E102" t="s">
        <v>241</v>
      </c>
      <c r="H102" s="40">
        <f>SUM(H100:H101)</f>
        <v>20000</v>
      </c>
      <c r="I102" s="43">
        <f t="shared" ref="I102:O102" si="10">SUM(I99:I101)</f>
        <v>34720.724999999999</v>
      </c>
      <c r="J102" s="43">
        <f t="shared" si="10"/>
        <v>14000</v>
      </c>
      <c r="K102" s="43">
        <f t="shared" si="10"/>
        <v>4856.25</v>
      </c>
      <c r="L102" s="43">
        <f t="shared" si="10"/>
        <v>8318.6</v>
      </c>
      <c r="M102" s="43">
        <f t="shared" si="10"/>
        <v>9223.36</v>
      </c>
      <c r="N102" s="43">
        <f t="shared" si="10"/>
        <v>40965.71</v>
      </c>
      <c r="O102" s="43">
        <f t="shared" si="10"/>
        <v>12672.784</v>
      </c>
    </row>
    <row r="103" spans="5:16" x14ac:dyDescent="0.45">
      <c r="E103" s="2" t="s">
        <v>80</v>
      </c>
      <c r="H103" s="6"/>
      <c r="K103" s="1"/>
      <c r="L103" s="1"/>
      <c r="M103" s="1"/>
    </row>
    <row r="104" spans="5:16" x14ac:dyDescent="0.45">
      <c r="F104" t="s">
        <v>81</v>
      </c>
      <c r="H104" s="6"/>
      <c r="K104" s="1"/>
      <c r="L104" s="1"/>
      <c r="M104" s="1"/>
    </row>
    <row r="105" spans="5:16" x14ac:dyDescent="0.45">
      <c r="G105" t="s">
        <v>82</v>
      </c>
      <c r="H105" s="6">
        <v>23000</v>
      </c>
      <c r="I105" s="1">
        <v>22500</v>
      </c>
      <c r="J105" s="1">
        <v>23000</v>
      </c>
      <c r="K105" s="1">
        <v>21925</v>
      </c>
      <c r="L105" s="1">
        <v>15981.5</v>
      </c>
      <c r="M105" s="1">
        <v>16044</v>
      </c>
      <c r="N105" s="1">
        <v>13312.5</v>
      </c>
      <c r="O105" s="1">
        <f t="shared" ref="O105:O115" si="11">(+N105+M105+L105+K105+I105)/5</f>
        <v>17952.599999999999</v>
      </c>
      <c r="P105" s="1" t="s">
        <v>218</v>
      </c>
    </row>
    <row r="106" spans="5:16" x14ac:dyDescent="0.45">
      <c r="G106" t="s">
        <v>131</v>
      </c>
      <c r="H106" s="6">
        <v>1000</v>
      </c>
      <c r="I106" s="1">
        <v>714.91249999999991</v>
      </c>
      <c r="J106" s="1">
        <v>1200</v>
      </c>
      <c r="K106" s="1">
        <v>1089.3599999999999</v>
      </c>
      <c r="L106" s="1">
        <v>844.59</v>
      </c>
      <c r="M106" s="1">
        <v>714.89</v>
      </c>
      <c r="N106" s="1">
        <v>0</v>
      </c>
      <c r="O106" s="1">
        <f t="shared" si="11"/>
        <v>672.75049999999999</v>
      </c>
    </row>
    <row r="107" spans="5:16" x14ac:dyDescent="0.45">
      <c r="G107" t="s">
        <v>132</v>
      </c>
      <c r="H107" s="6">
        <f>H105*0.075</f>
        <v>1725</v>
      </c>
      <c r="I107" s="1">
        <v>1490.65</v>
      </c>
      <c r="J107" s="1">
        <f>J105*0.075</f>
        <v>1725</v>
      </c>
      <c r="K107" s="1">
        <v>1554.39</v>
      </c>
      <c r="L107" s="1">
        <v>4129.37</v>
      </c>
      <c r="M107" s="1">
        <v>1089.24</v>
      </c>
      <c r="N107" s="1">
        <v>0</v>
      </c>
      <c r="O107" s="1">
        <f t="shared" si="11"/>
        <v>1652.73</v>
      </c>
    </row>
    <row r="108" spans="5:16" x14ac:dyDescent="0.45">
      <c r="G108" t="s">
        <v>83</v>
      </c>
      <c r="H108" s="6">
        <f>H105*0.0765</f>
        <v>1759.5</v>
      </c>
      <c r="I108" s="1">
        <v>1436.7625</v>
      </c>
      <c r="J108" s="1">
        <f>J105*0.0765</f>
        <v>1759.5</v>
      </c>
      <c r="K108" s="1">
        <v>1585.46</v>
      </c>
      <c r="L108" s="1">
        <v>1159.8599999999999</v>
      </c>
      <c r="M108" s="1">
        <v>1227.3599999999999</v>
      </c>
      <c r="N108" s="1">
        <v>1018.43</v>
      </c>
      <c r="O108" s="1">
        <f t="shared" si="11"/>
        <v>1285.5744999999999</v>
      </c>
    </row>
    <row r="109" spans="5:16" x14ac:dyDescent="0.45">
      <c r="G109" t="s">
        <v>84</v>
      </c>
      <c r="H109" s="6">
        <v>5000</v>
      </c>
      <c r="I109" s="1">
        <v>500</v>
      </c>
      <c r="J109" s="1">
        <v>10000</v>
      </c>
      <c r="K109" s="1">
        <v>0</v>
      </c>
      <c r="L109" s="1"/>
      <c r="M109" s="1"/>
      <c r="N109" s="1">
        <v>9942.8799999999992</v>
      </c>
      <c r="O109" s="1">
        <f t="shared" si="11"/>
        <v>2088.576</v>
      </c>
      <c r="P109" s="1" t="s">
        <v>217</v>
      </c>
    </row>
    <row r="110" spans="5:16" x14ac:dyDescent="0.45">
      <c r="F110" t="s">
        <v>85</v>
      </c>
      <c r="H110" s="6">
        <f>SUM(H105:H109)</f>
        <v>32484.5</v>
      </c>
      <c r="I110" s="1">
        <v>26142.325000000001</v>
      </c>
      <c r="J110" s="1">
        <f>SUM(J105:J109)</f>
        <v>37684.5</v>
      </c>
      <c r="K110" s="1">
        <v>26154.21</v>
      </c>
      <c r="L110" s="1">
        <f>SUM(L105:L109)</f>
        <v>22115.32</v>
      </c>
      <c r="M110" s="1">
        <f>SUM(M105:M109)</f>
        <v>19075.490000000002</v>
      </c>
      <c r="N110" s="1">
        <f>SUM(N105:N109)</f>
        <v>24273.809999999998</v>
      </c>
      <c r="O110" s="1">
        <f t="shared" si="11"/>
        <v>23552.231</v>
      </c>
    </row>
    <row r="111" spans="5:16" x14ac:dyDescent="0.45">
      <c r="F111" t="s">
        <v>86</v>
      </c>
      <c r="H111" s="6">
        <v>900</v>
      </c>
      <c r="I111" s="1">
        <v>836.5</v>
      </c>
      <c r="J111" s="1">
        <v>1200</v>
      </c>
      <c r="K111" s="1">
        <v>1437.1</v>
      </c>
      <c r="L111" s="1">
        <v>1030.58</v>
      </c>
      <c r="M111" s="1">
        <v>824.68</v>
      </c>
      <c r="N111" s="1">
        <v>762.8</v>
      </c>
      <c r="O111" s="1">
        <f t="shared" si="11"/>
        <v>978.33199999999999</v>
      </c>
      <c r="P111" s="1" t="s">
        <v>234</v>
      </c>
    </row>
    <row r="112" spans="5:16" x14ac:dyDescent="0.45">
      <c r="F112" t="s">
        <v>133</v>
      </c>
      <c r="H112" s="6">
        <v>0</v>
      </c>
      <c r="I112" s="1">
        <v>0</v>
      </c>
      <c r="J112" s="1">
        <v>0</v>
      </c>
      <c r="K112" s="1">
        <v>0</v>
      </c>
      <c r="L112" s="1"/>
      <c r="M112" s="1"/>
      <c r="N112" s="1">
        <v>0</v>
      </c>
      <c r="O112" s="1">
        <f t="shared" si="11"/>
        <v>0</v>
      </c>
    </row>
    <row r="113" spans="4:16" x14ac:dyDescent="0.45">
      <c r="E113" t="s">
        <v>87</v>
      </c>
      <c r="H113" s="40">
        <f>H112+H111+H110</f>
        <v>33384.5</v>
      </c>
      <c r="I113" s="1">
        <v>26978.825000000001</v>
      </c>
      <c r="J113" s="1">
        <f>J112+J111+J110</f>
        <v>38884.5</v>
      </c>
      <c r="K113" s="1">
        <v>27591.31</v>
      </c>
      <c r="L113" s="1">
        <f>L112+L111+L110</f>
        <v>23145.9</v>
      </c>
      <c r="M113" s="1">
        <f>M112+M111+M110</f>
        <v>19900.170000000002</v>
      </c>
      <c r="N113" s="1">
        <f>ROUND(N103+SUM(N110:N112),5)</f>
        <v>25036.61</v>
      </c>
      <c r="O113" s="1">
        <f t="shared" si="11"/>
        <v>24530.562999999998</v>
      </c>
    </row>
    <row r="114" spans="4:16" x14ac:dyDescent="0.45">
      <c r="E114" t="s">
        <v>88</v>
      </c>
      <c r="H114" s="6">
        <v>0</v>
      </c>
      <c r="I114" s="1">
        <v>0</v>
      </c>
      <c r="J114" s="1">
        <v>0</v>
      </c>
      <c r="K114" s="1">
        <v>0</v>
      </c>
      <c r="L114" s="1"/>
      <c r="M114" s="1"/>
      <c r="N114" s="1">
        <v>0</v>
      </c>
      <c r="O114" s="1">
        <f t="shared" si="11"/>
        <v>0</v>
      </c>
    </row>
    <row r="115" spans="4:16" x14ac:dyDescent="0.45">
      <c r="D115" t="s">
        <v>89</v>
      </c>
      <c r="H115" s="40">
        <f>ROUND(H50+H86+SUM(H98:H101)+SUM(H113:H114),5)</f>
        <v>143318.75</v>
      </c>
      <c r="I115" s="1">
        <v>160986.25</v>
      </c>
      <c r="J115" s="1">
        <f>ROUND(J50+J86+SUM(J98:J101)+SUM(J113:J114),5)</f>
        <v>152380.5</v>
      </c>
      <c r="K115" s="1">
        <v>118261.68</v>
      </c>
      <c r="L115" s="1">
        <f>ROUND(L50+L86+SUM(L98:L99)+SUM(L113:L114),5)</f>
        <v>154770.9</v>
      </c>
      <c r="M115" s="1">
        <f>ROUND(M50+M86+SUM(M98:M99)+SUM(M113:M114),5)</f>
        <v>137350.65</v>
      </c>
      <c r="N115" s="1">
        <f>ROUND(N50+N86+SUM(N98:N99)+SUM(N113:N114),5)</f>
        <v>180750.5</v>
      </c>
      <c r="O115" s="1">
        <f t="shared" si="11"/>
        <v>150423.99599999998</v>
      </c>
    </row>
    <row r="116" spans="4:16" x14ac:dyDescent="0.45">
      <c r="D116" s="2" t="s">
        <v>90</v>
      </c>
      <c r="H116" s="6"/>
      <c r="K116" s="1"/>
      <c r="L116" s="1"/>
      <c r="M116" s="1"/>
    </row>
    <row r="117" spans="4:16" x14ac:dyDescent="0.45">
      <c r="E117" t="s">
        <v>91</v>
      </c>
      <c r="H117" s="6"/>
      <c r="K117" s="1"/>
      <c r="L117" s="1"/>
      <c r="M117" s="1"/>
    </row>
    <row r="118" spans="4:16" x14ac:dyDescent="0.45">
      <c r="F118" t="s">
        <v>92</v>
      </c>
      <c r="H118" s="6">
        <f>88000+3500</f>
        <v>91500</v>
      </c>
      <c r="I118" s="1">
        <v>88076</v>
      </c>
      <c r="J118" s="1">
        <v>87500</v>
      </c>
      <c r="K118" s="1">
        <v>86350</v>
      </c>
      <c r="L118" s="1">
        <v>85500</v>
      </c>
      <c r="M118" s="1">
        <v>85500</v>
      </c>
      <c r="N118" s="1">
        <v>83500</v>
      </c>
      <c r="O118" s="1">
        <f t="shared" ref="O118:O123" si="12">(+N118+M118+L118+K118+I118)/5</f>
        <v>85785.2</v>
      </c>
    </row>
    <row r="119" spans="4:16" x14ac:dyDescent="0.45">
      <c r="F119" t="s">
        <v>93</v>
      </c>
      <c r="H119" s="6">
        <v>150</v>
      </c>
      <c r="I119" s="1">
        <v>0</v>
      </c>
      <c r="J119" s="1">
        <v>150</v>
      </c>
      <c r="K119" s="1">
        <v>210.2</v>
      </c>
      <c r="L119" s="1">
        <v>149.38</v>
      </c>
      <c r="M119" s="1">
        <v>148.37</v>
      </c>
      <c r="N119" s="1">
        <v>206</v>
      </c>
      <c r="O119" s="1">
        <f t="shared" si="12"/>
        <v>142.79000000000002</v>
      </c>
    </row>
    <row r="120" spans="4:16" x14ac:dyDescent="0.45">
      <c r="E120" t="s">
        <v>94</v>
      </c>
      <c r="H120" s="6">
        <f>SUM(H118:H119)</f>
        <v>91650</v>
      </c>
      <c r="I120" s="1">
        <v>88076</v>
      </c>
      <c r="J120" s="1">
        <f>SUM(J118:J119)</f>
        <v>87650</v>
      </c>
      <c r="K120" s="1">
        <v>86560.2</v>
      </c>
      <c r="L120" s="1">
        <f>SUM(L118:L119)</f>
        <v>85649.38</v>
      </c>
      <c r="M120" s="1">
        <f>SUM(M118:M119)</f>
        <v>85648.37</v>
      </c>
      <c r="N120" s="1">
        <f>ROUND(SUM(N117:N119),5)</f>
        <v>83706</v>
      </c>
      <c r="O120" s="1">
        <f t="shared" si="12"/>
        <v>85927.99</v>
      </c>
    </row>
    <row r="121" spans="4:16" x14ac:dyDescent="0.45">
      <c r="E121" t="s">
        <v>95</v>
      </c>
      <c r="H121" s="6">
        <v>5000</v>
      </c>
      <c r="I121" s="1">
        <v>0</v>
      </c>
      <c r="J121" s="1">
        <v>1500</v>
      </c>
      <c r="K121" s="1">
        <v>195.83</v>
      </c>
      <c r="L121" s="1">
        <v>2254.23</v>
      </c>
      <c r="M121" s="1">
        <v>95.48</v>
      </c>
      <c r="N121" s="1">
        <v>115.69</v>
      </c>
      <c r="O121" s="1">
        <f t="shared" si="12"/>
        <v>532.24599999999998</v>
      </c>
      <c r="P121" s="1" t="s">
        <v>243</v>
      </c>
    </row>
    <row r="122" spans="4:16" x14ac:dyDescent="0.45">
      <c r="E122" t="s">
        <v>96</v>
      </c>
      <c r="H122" s="6">
        <v>4000</v>
      </c>
      <c r="I122" s="1">
        <v>0</v>
      </c>
      <c r="J122" s="1">
        <v>1000</v>
      </c>
      <c r="K122" s="1">
        <v>900</v>
      </c>
      <c r="L122" s="1">
        <v>0</v>
      </c>
      <c r="M122" s="1">
        <v>180</v>
      </c>
      <c r="N122" s="1">
        <v>1650</v>
      </c>
      <c r="O122" s="1">
        <f t="shared" si="12"/>
        <v>546</v>
      </c>
      <c r="P122" s="1" t="s">
        <v>244</v>
      </c>
    </row>
    <row r="123" spans="4:16" x14ac:dyDescent="0.45">
      <c r="D123" t="s">
        <v>97</v>
      </c>
      <c r="H123" s="40">
        <f>H122+H121+H120</f>
        <v>100650</v>
      </c>
      <c r="I123" s="1">
        <v>88076</v>
      </c>
      <c r="J123" s="1">
        <f>J122+J121+J120</f>
        <v>90150</v>
      </c>
      <c r="K123" s="1">
        <v>87656.03</v>
      </c>
      <c r="L123" s="1">
        <f>L122+L121+L120</f>
        <v>87903.61</v>
      </c>
      <c r="M123" s="1">
        <f>M122+M121+M120</f>
        <v>85923.849999999991</v>
      </c>
      <c r="N123" s="1">
        <f>ROUND(N116+SUM(N120:N122),5)</f>
        <v>85471.69</v>
      </c>
      <c r="O123" s="1">
        <f t="shared" si="12"/>
        <v>87006.23599999999</v>
      </c>
    </row>
    <row r="124" spans="4:16" x14ac:dyDescent="0.45">
      <c r="D124" s="2" t="s">
        <v>98</v>
      </c>
      <c r="H124" s="6"/>
      <c r="K124" s="1"/>
      <c r="L124" s="1"/>
      <c r="M124" s="1"/>
    </row>
    <row r="125" spans="4:16" x14ac:dyDescent="0.45">
      <c r="E125" t="s">
        <v>99</v>
      </c>
      <c r="H125" s="6"/>
      <c r="K125" s="1"/>
      <c r="L125" s="1"/>
      <c r="M125" s="1"/>
    </row>
    <row r="126" spans="4:16" x14ac:dyDescent="0.45">
      <c r="F126" t="s">
        <v>134</v>
      </c>
      <c r="H126" s="6">
        <v>200</v>
      </c>
      <c r="I126" s="1">
        <v>365.5625</v>
      </c>
      <c r="J126" s="1">
        <v>400</v>
      </c>
      <c r="K126" s="1">
        <v>344.96</v>
      </c>
      <c r="L126" s="1">
        <v>308.63</v>
      </c>
      <c r="M126" s="1">
        <v>1207.42</v>
      </c>
      <c r="N126" s="1">
        <v>0</v>
      </c>
      <c r="O126" s="1">
        <f t="shared" ref="O126:O139" si="13">(+N126+M126+L126+K126+I126)/5</f>
        <v>445.31450000000007</v>
      </c>
    </row>
    <row r="127" spans="4:16" x14ac:dyDescent="0.45">
      <c r="F127" t="s">
        <v>135</v>
      </c>
      <c r="H127" s="6">
        <v>100</v>
      </c>
      <c r="I127" s="1">
        <v>0</v>
      </c>
      <c r="J127" s="1">
        <v>100</v>
      </c>
      <c r="K127" s="1">
        <v>44.44</v>
      </c>
      <c r="L127" s="1">
        <v>66.680000000000007</v>
      </c>
      <c r="M127" s="1">
        <v>0</v>
      </c>
      <c r="N127" s="1">
        <v>0</v>
      </c>
      <c r="O127" s="1">
        <f t="shared" si="13"/>
        <v>22.224</v>
      </c>
    </row>
    <row r="128" spans="4:16" x14ac:dyDescent="0.45">
      <c r="F128" t="s">
        <v>100</v>
      </c>
      <c r="H128" s="6">
        <v>500</v>
      </c>
      <c r="I128" s="1">
        <v>7952.86</v>
      </c>
      <c r="J128" s="1">
        <v>16000</v>
      </c>
      <c r="K128" s="1">
        <v>11122.91</v>
      </c>
      <c r="L128" s="1">
        <v>13516.59</v>
      </c>
      <c r="M128" s="1">
        <v>15218.17</v>
      </c>
      <c r="N128" s="1">
        <v>17712.84</v>
      </c>
      <c r="O128" s="1">
        <f t="shared" si="13"/>
        <v>13104.674000000003</v>
      </c>
    </row>
    <row r="129" spans="6:16" x14ac:dyDescent="0.45">
      <c r="F129" t="s">
        <v>101</v>
      </c>
      <c r="H129" s="6">
        <v>0</v>
      </c>
      <c r="I129" s="1">
        <v>0</v>
      </c>
      <c r="J129" s="1">
        <v>1500</v>
      </c>
      <c r="K129" s="1">
        <v>0</v>
      </c>
      <c r="L129" s="1">
        <v>1575.72</v>
      </c>
      <c r="M129" s="1">
        <v>688.82</v>
      </c>
      <c r="N129" s="1">
        <v>718.84</v>
      </c>
      <c r="O129" s="1">
        <f t="shared" si="13"/>
        <v>596.67600000000004</v>
      </c>
    </row>
    <row r="130" spans="6:16" x14ac:dyDescent="0.45">
      <c r="F130" t="s">
        <v>102</v>
      </c>
      <c r="H130" s="6">
        <v>250</v>
      </c>
      <c r="I130" s="1">
        <v>357.98749999999995</v>
      </c>
      <c r="J130" s="1">
        <v>1500</v>
      </c>
      <c r="K130" s="1">
        <v>311.14999999999998</v>
      </c>
      <c r="L130" s="1">
        <v>2180.33</v>
      </c>
      <c r="M130" s="1">
        <v>1747.62</v>
      </c>
      <c r="N130" s="1">
        <v>831.25</v>
      </c>
      <c r="O130" s="1">
        <f t="shared" si="13"/>
        <v>1085.6675</v>
      </c>
    </row>
    <row r="131" spans="6:16" x14ac:dyDescent="0.45">
      <c r="F131" t="s">
        <v>103</v>
      </c>
      <c r="H131" s="6">
        <v>250</v>
      </c>
      <c r="I131" s="1">
        <v>4465.875</v>
      </c>
      <c r="J131" s="1">
        <v>7000</v>
      </c>
      <c r="K131" s="1">
        <v>8360.74</v>
      </c>
      <c r="L131" s="1">
        <v>7060.71</v>
      </c>
      <c r="M131" s="1">
        <v>4972.74</v>
      </c>
      <c r="N131" s="1">
        <v>15639.79</v>
      </c>
      <c r="O131" s="1">
        <f t="shared" si="13"/>
        <v>8099.9709999999995</v>
      </c>
    </row>
    <row r="132" spans="6:16" x14ac:dyDescent="0.45">
      <c r="F132" t="s">
        <v>136</v>
      </c>
      <c r="H132" s="6">
        <v>0</v>
      </c>
      <c r="I132" s="1">
        <v>0</v>
      </c>
      <c r="J132" s="1">
        <v>1000</v>
      </c>
      <c r="K132" s="1">
        <v>523.52</v>
      </c>
      <c r="L132" s="1">
        <v>1171.32</v>
      </c>
      <c r="M132" s="1">
        <v>2057.9</v>
      </c>
      <c r="N132" s="1">
        <v>1766</v>
      </c>
      <c r="O132" s="1">
        <f t="shared" si="13"/>
        <v>1103.748</v>
      </c>
    </row>
    <row r="133" spans="6:16" x14ac:dyDescent="0.45">
      <c r="F133" t="s">
        <v>104</v>
      </c>
      <c r="H133" s="47">
        <f>+ROADS!E10</f>
        <v>40000</v>
      </c>
      <c r="I133" s="1">
        <v>40000</v>
      </c>
      <c r="J133" s="1">
        <v>25000</v>
      </c>
      <c r="K133" s="1">
        <v>20527.62</v>
      </c>
      <c r="L133" s="1">
        <v>87601.53</v>
      </c>
      <c r="M133" s="1">
        <v>32802.49</v>
      </c>
      <c r="N133" s="1">
        <v>63192.72</v>
      </c>
      <c r="O133" s="1">
        <f t="shared" si="13"/>
        <v>48824.871999999996</v>
      </c>
      <c r="P133" s="1" t="s">
        <v>144</v>
      </c>
    </row>
    <row r="134" spans="6:16" x14ac:dyDescent="0.45">
      <c r="F134" t="s">
        <v>105</v>
      </c>
      <c r="H134" s="6">
        <v>500</v>
      </c>
      <c r="I134" s="1">
        <v>0</v>
      </c>
      <c r="J134" s="1">
        <v>1500</v>
      </c>
      <c r="K134" s="1">
        <v>941.91</v>
      </c>
      <c r="L134" s="1">
        <v>1277.5999999999999</v>
      </c>
      <c r="M134" s="1">
        <v>5998.92</v>
      </c>
      <c r="N134" s="1">
        <v>1665.37</v>
      </c>
      <c r="O134" s="1">
        <f t="shared" si="13"/>
        <v>1976.7599999999998</v>
      </c>
    </row>
    <row r="135" spans="6:16" x14ac:dyDescent="0.45">
      <c r="F135" t="s">
        <v>106</v>
      </c>
      <c r="H135" s="47">
        <f>+ROADS!D10</f>
        <v>40000</v>
      </c>
      <c r="I135" s="1">
        <v>20500</v>
      </c>
      <c r="J135" s="1">
        <v>40000</v>
      </c>
      <c r="K135" s="1">
        <v>8131.25</v>
      </c>
      <c r="L135" s="1">
        <v>29724.36</v>
      </c>
      <c r="M135" s="1">
        <v>88520.43</v>
      </c>
      <c r="N135" s="1">
        <v>37257.040000000001</v>
      </c>
      <c r="O135" s="1">
        <f t="shared" si="13"/>
        <v>36826.616000000002</v>
      </c>
      <c r="P135" s="1" t="s">
        <v>212</v>
      </c>
    </row>
    <row r="136" spans="6:16" x14ac:dyDescent="0.45">
      <c r="F136" t="s">
        <v>107</v>
      </c>
      <c r="H136" s="6">
        <v>35</v>
      </c>
      <c r="I136" s="1">
        <v>38.5</v>
      </c>
      <c r="J136" s="1">
        <v>60</v>
      </c>
      <c r="K136" s="1">
        <v>0</v>
      </c>
      <c r="L136" s="1">
        <v>57.75</v>
      </c>
      <c r="M136" s="1">
        <v>200</v>
      </c>
      <c r="N136" s="1">
        <v>48</v>
      </c>
      <c r="O136" s="1">
        <f t="shared" si="13"/>
        <v>68.849999999999994</v>
      </c>
    </row>
    <row r="137" spans="6:16" x14ac:dyDescent="0.45">
      <c r="F137" t="s">
        <v>108</v>
      </c>
      <c r="H137" s="6">
        <v>500</v>
      </c>
      <c r="I137" s="1">
        <v>1394</v>
      </c>
      <c r="J137" s="1">
        <v>1500</v>
      </c>
      <c r="K137" s="1">
        <v>1394</v>
      </c>
      <c r="L137" s="1">
        <v>1309</v>
      </c>
      <c r="M137" s="1">
        <v>1324</v>
      </c>
      <c r="N137" s="1">
        <v>1249</v>
      </c>
      <c r="O137" s="1">
        <f t="shared" si="13"/>
        <v>1334</v>
      </c>
    </row>
    <row r="138" spans="6:16" x14ac:dyDescent="0.45">
      <c r="F138" t="s">
        <v>109</v>
      </c>
      <c r="G138" s="20"/>
      <c r="H138" s="6">
        <v>500</v>
      </c>
      <c r="I138" s="1">
        <v>13250</v>
      </c>
      <c r="J138" s="1">
        <v>30000</v>
      </c>
      <c r="K138" s="1">
        <v>35311.96</v>
      </c>
      <c r="L138" s="1">
        <v>9505.9699999999993</v>
      </c>
      <c r="M138" s="1">
        <v>11317.65</v>
      </c>
      <c r="N138" s="1">
        <v>14350.97</v>
      </c>
      <c r="O138" s="1">
        <f t="shared" si="13"/>
        <v>16747.309999999998</v>
      </c>
    </row>
    <row r="139" spans="6:16" x14ac:dyDescent="0.45">
      <c r="F139" t="s">
        <v>110</v>
      </c>
      <c r="H139" s="47">
        <f>+ROADS!H10</f>
        <v>1500</v>
      </c>
      <c r="I139" s="1">
        <v>2174.2250000000004</v>
      </c>
      <c r="J139" s="1">
        <v>10000</v>
      </c>
      <c r="K139" s="1">
        <v>7821.53</v>
      </c>
      <c r="L139" s="1">
        <v>8292.85</v>
      </c>
      <c r="M139" s="1">
        <v>11948.83</v>
      </c>
      <c r="N139" s="1">
        <v>24508.52</v>
      </c>
      <c r="O139" s="1">
        <f t="shared" si="13"/>
        <v>10949.190999999999</v>
      </c>
    </row>
    <row r="140" spans="6:16" x14ac:dyDescent="0.45">
      <c r="F140" t="s">
        <v>111</v>
      </c>
      <c r="H140" s="6"/>
      <c r="K140" s="1"/>
      <c r="L140" s="1"/>
      <c r="M140" s="1"/>
    </row>
    <row r="141" spans="6:16" x14ac:dyDescent="0.45">
      <c r="G141" t="s">
        <v>112</v>
      </c>
      <c r="H141" s="6">
        <f>15000+5000</f>
        <v>20000</v>
      </c>
      <c r="I141" s="1">
        <v>27260.219999999998</v>
      </c>
      <c r="J141" s="1">
        <v>60000</v>
      </c>
      <c r="K141" s="1">
        <v>59780.32</v>
      </c>
      <c r="L141" s="1">
        <v>73029.39</v>
      </c>
      <c r="M141" s="1">
        <v>81221.03</v>
      </c>
      <c r="N141" s="1">
        <v>70768.3</v>
      </c>
      <c r="O141" s="1">
        <f>(+N141+M141+L141+K141+I141)/5</f>
        <v>62411.851999999999</v>
      </c>
      <c r="P141" s="45" t="s">
        <v>239</v>
      </c>
    </row>
    <row r="142" spans="6:16" x14ac:dyDescent="0.45">
      <c r="G142" t="s">
        <v>206</v>
      </c>
      <c r="H142" s="6">
        <f>70000+30000+25000+10000+10000+20000</f>
        <v>165000</v>
      </c>
      <c r="I142" s="1">
        <v>0</v>
      </c>
      <c r="J142" s="1">
        <v>0</v>
      </c>
      <c r="K142" s="1"/>
      <c r="L142" s="1"/>
      <c r="M142" s="1"/>
      <c r="O142" s="1">
        <f t="shared" ref="O142:O154" si="14">(+N142+M142+L142+K142+I142)/5</f>
        <v>0</v>
      </c>
      <c r="P142" s="1" t="s">
        <v>231</v>
      </c>
    </row>
    <row r="143" spans="6:16" x14ac:dyDescent="0.45">
      <c r="G143" t="s">
        <v>200</v>
      </c>
      <c r="H143" s="6">
        <v>0</v>
      </c>
      <c r="I143" s="1">
        <v>430.625</v>
      </c>
      <c r="J143" s="1">
        <v>1350</v>
      </c>
      <c r="K143" s="1">
        <v>964.5</v>
      </c>
      <c r="L143" s="1">
        <v>1624.75</v>
      </c>
      <c r="M143" s="1">
        <v>0</v>
      </c>
      <c r="O143" s="1">
        <f t="shared" si="14"/>
        <v>603.97500000000002</v>
      </c>
    </row>
    <row r="144" spans="6:16" x14ac:dyDescent="0.45">
      <c r="G144" t="s">
        <v>113</v>
      </c>
      <c r="H144" s="6">
        <f>15000*0.075</f>
        <v>1125</v>
      </c>
      <c r="I144" s="1">
        <v>2044.5208333333333</v>
      </c>
      <c r="J144" s="1">
        <f>J141*0.075</f>
        <v>4500</v>
      </c>
      <c r="K144" s="1">
        <v>4483.5</v>
      </c>
      <c r="L144" s="1">
        <v>6605.25</v>
      </c>
      <c r="M144" s="1">
        <v>5415.72</v>
      </c>
      <c r="N144" s="1">
        <v>4342.5</v>
      </c>
      <c r="O144" s="1">
        <f t="shared" si="14"/>
        <v>4578.2981666666665</v>
      </c>
    </row>
    <row r="145" spans="4:15" x14ac:dyDescent="0.45">
      <c r="G145" t="s">
        <v>114</v>
      </c>
      <c r="H145" s="6">
        <f>15000*0.0765</f>
        <v>1147.5</v>
      </c>
      <c r="I145" s="1">
        <v>2006.3333333333333</v>
      </c>
      <c r="J145" s="1">
        <f>J141*0.0765</f>
        <v>4590</v>
      </c>
      <c r="K145" s="1">
        <v>4396.1099999999997</v>
      </c>
      <c r="L145" s="1">
        <v>5379.24</v>
      </c>
      <c r="M145" s="1">
        <v>5987.53</v>
      </c>
      <c r="N145" s="1">
        <v>5298.78</v>
      </c>
      <c r="O145" s="1">
        <f t="shared" si="14"/>
        <v>4613.5986666666668</v>
      </c>
    </row>
    <row r="146" spans="4:15" x14ac:dyDescent="0.45">
      <c r="G146" t="s">
        <v>205</v>
      </c>
      <c r="H146" s="6">
        <v>0</v>
      </c>
      <c r="I146" s="1">
        <v>1033.5</v>
      </c>
      <c r="J146" s="1">
        <v>2300</v>
      </c>
      <c r="K146" s="1">
        <v>2314.8000000000002</v>
      </c>
      <c r="L146" s="1">
        <v>2712.6</v>
      </c>
      <c r="M146" s="1">
        <v>2952.6</v>
      </c>
      <c r="N146" s="1">
        <v>1503</v>
      </c>
      <c r="O146" s="1">
        <f t="shared" si="14"/>
        <v>2103.3000000000002</v>
      </c>
    </row>
    <row r="147" spans="4:15" x14ac:dyDescent="0.45">
      <c r="G147" t="s">
        <v>115</v>
      </c>
      <c r="H147" s="6">
        <v>0</v>
      </c>
      <c r="I147" s="1">
        <v>20410</v>
      </c>
      <c r="J147" s="1">
        <f>(925*3*3)+(975*3*9)</f>
        <v>34650</v>
      </c>
      <c r="K147" s="1">
        <v>33120</v>
      </c>
      <c r="L147" s="1">
        <v>31065</v>
      </c>
      <c r="M147" s="1">
        <v>30240</v>
      </c>
      <c r="N147" s="1">
        <v>15658</v>
      </c>
      <c r="O147" s="1">
        <f t="shared" si="14"/>
        <v>26098.6</v>
      </c>
    </row>
    <row r="148" spans="4:15" x14ac:dyDescent="0.45">
      <c r="G148" t="s">
        <v>116</v>
      </c>
      <c r="H148" s="6">
        <v>1000</v>
      </c>
      <c r="I148" s="1">
        <v>0</v>
      </c>
      <c r="J148" s="1">
        <v>1000</v>
      </c>
      <c r="K148" s="1">
        <v>0</v>
      </c>
      <c r="L148" s="1">
        <v>168.79</v>
      </c>
      <c r="M148" s="1">
        <v>363.99</v>
      </c>
      <c r="N148" s="1">
        <v>5870</v>
      </c>
      <c r="O148" s="1">
        <f t="shared" si="14"/>
        <v>1280.556</v>
      </c>
    </row>
    <row r="149" spans="4:15" x14ac:dyDescent="0.45">
      <c r="F149" t="s">
        <v>117</v>
      </c>
      <c r="H149" s="6">
        <f>SUM(H141:H148)</f>
        <v>188272.5</v>
      </c>
      <c r="I149" s="1">
        <v>53185.19917</v>
      </c>
      <c r="J149" s="1">
        <f>SUM(J141:J148)</f>
        <v>108390</v>
      </c>
      <c r="K149" s="1">
        <v>105059.23</v>
      </c>
      <c r="L149" s="1">
        <f>SUM(L141:L148)</f>
        <v>120585.02</v>
      </c>
      <c r="M149" s="1">
        <f>SUM(M141:M148)</f>
        <v>126180.87000000001</v>
      </c>
      <c r="N149" s="1">
        <f>SUM(N141:N148)</f>
        <v>103440.58</v>
      </c>
      <c r="O149" s="1">
        <f t="shared" si="14"/>
        <v>101690.179834</v>
      </c>
    </row>
    <row r="150" spans="4:15" x14ac:dyDescent="0.45">
      <c r="F150" t="s">
        <v>118</v>
      </c>
      <c r="H150" s="6">
        <v>0</v>
      </c>
      <c r="I150" s="1">
        <v>0</v>
      </c>
      <c r="J150" s="1">
        <v>25000</v>
      </c>
      <c r="K150" s="1">
        <v>0</v>
      </c>
      <c r="L150" s="1">
        <v>75</v>
      </c>
      <c r="M150" s="1">
        <v>1744.01</v>
      </c>
      <c r="N150" s="1">
        <v>10233.26</v>
      </c>
      <c r="O150" s="1">
        <f t="shared" si="14"/>
        <v>2410.4540000000002</v>
      </c>
    </row>
    <row r="151" spans="4:15" x14ac:dyDescent="0.45">
      <c r="F151" t="s">
        <v>119</v>
      </c>
      <c r="H151" s="47">
        <f>+ROADS!C10</f>
        <v>140000</v>
      </c>
      <c r="I151" s="1">
        <v>25000</v>
      </c>
      <c r="J151" s="1">
        <v>246000</v>
      </c>
      <c r="K151" s="1">
        <v>540961.27</v>
      </c>
      <c r="L151" s="1">
        <v>406983</v>
      </c>
      <c r="M151" s="1">
        <v>362735.33</v>
      </c>
      <c r="N151" s="1">
        <v>778178.26</v>
      </c>
      <c r="O151" s="1">
        <f t="shared" si="14"/>
        <v>422771.57200000004</v>
      </c>
    </row>
    <row r="152" spans="4:15" x14ac:dyDescent="0.45">
      <c r="E152" t="s">
        <v>120</v>
      </c>
      <c r="H152" s="6">
        <f>ROUND(SUM(H125:H139)+SUM(H149:H151),5)</f>
        <v>412607.5</v>
      </c>
      <c r="I152" s="1">
        <v>168684.20916999999</v>
      </c>
      <c r="J152" s="1">
        <f>ROUND(SUM(J125:J139)+SUM(J149:J151),5)</f>
        <v>514950</v>
      </c>
      <c r="K152" s="1">
        <v>740856.49</v>
      </c>
      <c r="L152" s="1">
        <f>ROUND(SUM(L125:L139)+SUM(L149:L151),5)</f>
        <v>691292.06</v>
      </c>
      <c r="M152" s="1">
        <f>ROUND(SUM(M125:M139)+SUM(M149:M151),5)</f>
        <v>668665.19999999995</v>
      </c>
      <c r="N152" s="1">
        <f>ROUND(SUM(N125:N139)+SUM(N149:N151),5)</f>
        <v>1070792.44</v>
      </c>
      <c r="O152" s="1">
        <f t="shared" si="14"/>
        <v>668058.07983400009</v>
      </c>
    </row>
    <row r="153" spans="4:15" x14ac:dyDescent="0.45">
      <c r="E153" t="s">
        <v>121</v>
      </c>
      <c r="H153" s="6">
        <v>180</v>
      </c>
      <c r="I153" s="1">
        <v>201.82500000000002</v>
      </c>
      <c r="J153" s="1">
        <v>180</v>
      </c>
      <c r="K153" s="1">
        <v>198.9</v>
      </c>
      <c r="L153" s="1">
        <v>182.52</v>
      </c>
      <c r="M153" s="1">
        <v>182.52</v>
      </c>
      <c r="N153" s="1">
        <v>182.52</v>
      </c>
      <c r="O153" s="1">
        <f t="shared" si="14"/>
        <v>189.65700000000001</v>
      </c>
    </row>
    <row r="154" spans="4:15" x14ac:dyDescent="0.45">
      <c r="D154" t="s">
        <v>122</v>
      </c>
      <c r="H154" s="40">
        <f>ROUND(H124+SUM(H152:H153),5)</f>
        <v>412787.5</v>
      </c>
      <c r="I154" s="3">
        <v>168886.03417</v>
      </c>
      <c r="J154" s="3">
        <f>ROUND(J124+SUM(J152:J153),5)</f>
        <v>515130</v>
      </c>
      <c r="K154" s="1">
        <v>741055.39</v>
      </c>
      <c r="L154" s="1">
        <f>ROUND(L124+SUM(L152:L153),5)</f>
        <v>691474.58</v>
      </c>
      <c r="M154" s="1">
        <f>ROUND(M124+SUM(M152:M153),5)</f>
        <v>668847.72</v>
      </c>
      <c r="N154" s="1">
        <f>ROUND(N124+SUM(N152:N153),5)</f>
        <v>1070974.96</v>
      </c>
      <c r="O154" s="1">
        <f t="shared" si="14"/>
        <v>668247.73683399998</v>
      </c>
    </row>
    <row r="155" spans="4:15" x14ac:dyDescent="0.45">
      <c r="D155" s="2" t="s">
        <v>137</v>
      </c>
      <c r="H155" s="6"/>
      <c r="K155" s="1"/>
    </row>
    <row r="156" spans="4:15" x14ac:dyDescent="0.45">
      <c r="E156" t="s">
        <v>138</v>
      </c>
      <c r="H156" s="6"/>
      <c r="N156" s="1">
        <v>0</v>
      </c>
      <c r="O156" s="1">
        <f t="shared" ref="O156:O160" si="15">(+N156+M156+L156+K156+I156)/5</f>
        <v>0</v>
      </c>
    </row>
    <row r="157" spans="4:15" x14ac:dyDescent="0.45">
      <c r="D157" t="s">
        <v>139</v>
      </c>
      <c r="H157" s="6"/>
      <c r="N157" s="1">
        <f>ROUND(SUM(N155:N156),5)</f>
        <v>0</v>
      </c>
      <c r="O157" s="1">
        <f t="shared" si="15"/>
        <v>0</v>
      </c>
    </row>
    <row r="158" spans="4:15" x14ac:dyDescent="0.45">
      <c r="D158" s="2" t="s">
        <v>123</v>
      </c>
      <c r="H158" s="6"/>
      <c r="L158" s="1"/>
      <c r="M158" s="1">
        <v>49952.47</v>
      </c>
      <c r="N158" s="1">
        <v>47000</v>
      </c>
      <c r="O158" s="1">
        <f t="shared" si="15"/>
        <v>19390.493999999999</v>
      </c>
    </row>
    <row r="159" spans="4:15" x14ac:dyDescent="0.45">
      <c r="E159" t="s">
        <v>124</v>
      </c>
      <c r="H159" s="6"/>
      <c r="K159" s="1"/>
      <c r="L159" s="1"/>
      <c r="M159" s="1">
        <v>1133.9100000000001</v>
      </c>
      <c r="N159" s="1">
        <v>3210.92</v>
      </c>
      <c r="O159" s="1">
        <f t="shared" si="15"/>
        <v>868.96600000000001</v>
      </c>
    </row>
    <row r="160" spans="4:15" x14ac:dyDescent="0.45">
      <c r="D160" t="s">
        <v>125</v>
      </c>
      <c r="H160" s="6"/>
      <c r="K160" s="1"/>
      <c r="L160" s="1"/>
      <c r="M160" s="1">
        <f>ROUND(SUM(M158:M159),5)</f>
        <v>51086.38</v>
      </c>
      <c r="N160" s="1">
        <f>ROUND(SUM(N158:N159),5)</f>
        <v>50210.92</v>
      </c>
      <c r="O160" s="1">
        <f t="shared" si="15"/>
        <v>20259.46</v>
      </c>
    </row>
    <row r="161" spans="2:15" x14ac:dyDescent="0.45">
      <c r="H161" s="6"/>
      <c r="K161" s="1"/>
      <c r="L161" s="1"/>
      <c r="M161" s="1"/>
    </row>
    <row r="162" spans="2:15" x14ac:dyDescent="0.45">
      <c r="C162" s="2" t="s">
        <v>126</v>
      </c>
      <c r="H162" s="48">
        <f>ROUND(H115+H123+H154+H158+SUM(H160:H160)+H161,5)</f>
        <v>656756.25</v>
      </c>
      <c r="I162" s="1">
        <v>418448.28417</v>
      </c>
      <c r="J162" s="1">
        <f>ROUND(J115+J123+J154+J158+SUM(J160:J160)+J161,5)</f>
        <v>757660.5</v>
      </c>
      <c r="K162" s="1">
        <v>946973.1</v>
      </c>
      <c r="L162" s="1">
        <f>ROUND(L115+L123+L154+L158+SUM(L160:L160)+L161,5)</f>
        <v>934149.09</v>
      </c>
      <c r="M162" s="1">
        <f>ROUND(M115+M123+M154+M158+SUM(M160:M160)+M161,5)</f>
        <v>993161.07</v>
      </c>
      <c r="N162" s="1">
        <f>ROUND(N115+N123+N154+N158+SUM(N160:N160)+N161,5)</f>
        <v>1434408.07</v>
      </c>
      <c r="O162" s="1">
        <f t="shared" ref="O162:O163" si="16">(+N162+M162+L162+K162+I162)/5</f>
        <v>945427.92283399997</v>
      </c>
    </row>
    <row r="163" spans="2:15" x14ac:dyDescent="0.45">
      <c r="B163" s="2" t="s">
        <v>156</v>
      </c>
      <c r="H163" s="6">
        <f>ROUND(H7+H40-H162,5)</f>
        <v>-77456.25</v>
      </c>
      <c r="I163" s="1">
        <v>192067.77583</v>
      </c>
      <c r="J163" s="1">
        <f>ROUND(J7+J40-J162,5)</f>
        <v>-186860.5</v>
      </c>
      <c r="K163" s="1">
        <v>-346379.62</v>
      </c>
      <c r="L163" s="1">
        <f>ROUND(L7+L40-L162,5)</f>
        <v>-389403.51</v>
      </c>
      <c r="M163" s="1">
        <f>ROUND(M7+M40-M162,5)</f>
        <v>-477780.29</v>
      </c>
      <c r="N163" s="1">
        <f>ROUND(N7+N40-N162,5)</f>
        <v>-546056.56000000006</v>
      </c>
      <c r="O163" s="1">
        <f t="shared" si="16"/>
        <v>-313510.44083400001</v>
      </c>
    </row>
    <row r="164" spans="2:15" x14ac:dyDescent="0.45">
      <c r="H164" s="6"/>
      <c r="K164" s="1"/>
      <c r="L164" s="1"/>
      <c r="M164" s="1">
        <v>0</v>
      </c>
    </row>
    <row r="165" spans="2:15" x14ac:dyDescent="0.45">
      <c r="F165" s="2" t="s">
        <v>152</v>
      </c>
      <c r="H165" s="6"/>
      <c r="K165" s="1"/>
      <c r="L165" s="1"/>
      <c r="M165" s="1"/>
    </row>
    <row r="166" spans="2:15" x14ac:dyDescent="0.45">
      <c r="F166" s="2"/>
      <c r="H166" s="6"/>
      <c r="K166" s="42"/>
      <c r="L166" s="1"/>
      <c r="M166" s="1"/>
    </row>
    <row r="167" spans="2:15" x14ac:dyDescent="0.45">
      <c r="G167" t="s">
        <v>153</v>
      </c>
      <c r="H167" s="6">
        <f>H11</f>
        <v>405000</v>
      </c>
      <c r="I167" s="1">
        <f>I11</f>
        <v>403130.17</v>
      </c>
      <c r="J167" s="1">
        <f>J11</f>
        <v>407500</v>
      </c>
      <c r="K167" s="1">
        <v>405000</v>
      </c>
      <c r="L167" s="1"/>
      <c r="M167" s="1"/>
    </row>
    <row r="168" spans="2:15" x14ac:dyDescent="0.45">
      <c r="G168" t="s">
        <v>154</v>
      </c>
      <c r="H168" s="6">
        <f>H40-H11</f>
        <v>174300</v>
      </c>
      <c r="I168" s="1">
        <f>I40-I11</f>
        <v>207385.89000000007</v>
      </c>
      <c r="J168" s="1">
        <f>J40-J11</f>
        <v>163300</v>
      </c>
      <c r="K168" s="1">
        <v>68300</v>
      </c>
      <c r="L168" s="1"/>
      <c r="M168" s="1"/>
    </row>
    <row r="169" spans="2:15" x14ac:dyDescent="0.45">
      <c r="H169" s="6"/>
      <c r="K169" s="1"/>
      <c r="L169" s="1"/>
      <c r="M169" s="1"/>
    </row>
    <row r="170" spans="2:15" x14ac:dyDescent="0.45">
      <c r="G170" t="s">
        <v>202</v>
      </c>
      <c r="H170" s="6">
        <f>H133+H135+H139+H150+H151</f>
        <v>221500</v>
      </c>
      <c r="I170" s="1">
        <f>I133+I135+I139+I150+I151</f>
        <v>87674.225000000006</v>
      </c>
      <c r="J170" s="1">
        <f>J133+J135+J139+J150+J151</f>
        <v>346000</v>
      </c>
      <c r="K170" s="1">
        <v>688589.8</v>
      </c>
      <c r="L170" s="1"/>
      <c r="M170" s="1"/>
    </row>
    <row r="171" spans="2:15" x14ac:dyDescent="0.45">
      <c r="G171" t="s">
        <v>178</v>
      </c>
      <c r="H171" s="6">
        <f>H154-H170</f>
        <v>191287.5</v>
      </c>
      <c r="I171" s="1">
        <f>I154-I170</f>
        <v>81211.809169999993</v>
      </c>
      <c r="J171" s="1">
        <f>J154-J170</f>
        <v>169130</v>
      </c>
      <c r="K171" s="1">
        <v>171960</v>
      </c>
      <c r="L171" s="1"/>
      <c r="M171" s="1"/>
    </row>
    <row r="172" spans="2:15" x14ac:dyDescent="0.45">
      <c r="G172" t="s">
        <v>177</v>
      </c>
      <c r="H172" s="6">
        <f>H162-H170-H171</f>
        <v>243968.75</v>
      </c>
      <c r="I172" s="1">
        <f>I162-I170-I171</f>
        <v>249562.25000000003</v>
      </c>
      <c r="J172" s="1">
        <f>J162-J170-J171</f>
        <v>242530.5</v>
      </c>
      <c r="K172" s="1">
        <v>227624.25</v>
      </c>
      <c r="L172" s="1"/>
      <c r="M172" s="1"/>
    </row>
    <row r="173" spans="2:15" x14ac:dyDescent="0.45">
      <c r="K173" s="1"/>
      <c r="L173" s="1"/>
      <c r="M173" s="1"/>
    </row>
    <row r="174" spans="2:15" x14ac:dyDescent="0.45">
      <c r="G174" t="s">
        <v>242</v>
      </c>
      <c r="K174" s="1"/>
      <c r="L174" s="1"/>
      <c r="M174" s="1"/>
    </row>
  </sheetData>
  <mergeCells count="1">
    <mergeCell ref="A1:O1"/>
  </mergeCells>
  <pageMargins left="0.25" right="0.25" top="0.25" bottom="0.25" header="0.3" footer="0.3"/>
  <pageSetup scale="82" fitToHeight="0" orientation="landscape" horizontalDpi="4294967293" r:id="rId1"/>
  <ignoredErrors>
    <ignoredError sqref="L3 M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19F0B-1B46-41A6-8F9F-BE124F9563C0}">
  <sheetPr>
    <pageSetUpPr fitToPage="1"/>
  </sheetPr>
  <dimension ref="A1:J44"/>
  <sheetViews>
    <sheetView zoomScale="145" zoomScaleNormal="145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D10" sqref="D10"/>
    </sheetView>
  </sheetViews>
  <sheetFormatPr defaultRowHeight="14.25" x14ac:dyDescent="0.45"/>
  <cols>
    <col min="1" max="1" width="5.3984375" bestFit="1" customWidth="1"/>
    <col min="2" max="2" width="30.265625" bestFit="1" customWidth="1"/>
    <col min="3" max="3" width="12.265625" bestFit="1" customWidth="1"/>
    <col min="4" max="7" width="11.73046875" bestFit="1" customWidth="1"/>
    <col min="8" max="8" width="11.73046875" customWidth="1"/>
    <col min="9" max="9" width="14.265625" style="1" bestFit="1" customWidth="1"/>
    <col min="10" max="10" width="59.59765625" customWidth="1"/>
  </cols>
  <sheetData>
    <row r="1" spans="1:10" ht="25.5" x14ac:dyDescent="0.75">
      <c r="B1" s="24" t="s">
        <v>176</v>
      </c>
      <c r="C1" s="24"/>
      <c r="D1" s="24"/>
      <c r="E1" s="24"/>
      <c r="F1" s="24"/>
      <c r="G1" s="24"/>
      <c r="H1" s="24"/>
      <c r="I1" s="21"/>
      <c r="J1" s="24"/>
    </row>
    <row r="2" spans="1:10" x14ac:dyDescent="0.45">
      <c r="B2" s="25">
        <v>2023</v>
      </c>
      <c r="C2" s="28">
        <f t="shared" ref="C2:H2" si="0">+C10</f>
        <v>140000</v>
      </c>
      <c r="D2" s="28">
        <f t="shared" si="0"/>
        <v>40000</v>
      </c>
      <c r="E2" s="28">
        <f t="shared" si="0"/>
        <v>40000</v>
      </c>
      <c r="F2" s="28">
        <f t="shared" si="0"/>
        <v>0</v>
      </c>
      <c r="G2" s="28">
        <f t="shared" si="0"/>
        <v>0</v>
      </c>
      <c r="H2" s="28">
        <f t="shared" si="0"/>
        <v>1500</v>
      </c>
      <c r="I2" s="35">
        <f>SUM(C2:H2)</f>
        <v>221500</v>
      </c>
    </row>
    <row r="3" spans="1:10" x14ac:dyDescent="0.45">
      <c r="B3" s="25">
        <f>+B2+1</f>
        <v>2024</v>
      </c>
      <c r="C3" s="28">
        <f t="shared" ref="C3:H3" si="1">+C25</f>
        <v>10000</v>
      </c>
      <c r="D3" s="28">
        <f t="shared" si="1"/>
        <v>10000</v>
      </c>
      <c r="E3" s="28">
        <f t="shared" si="1"/>
        <v>25000</v>
      </c>
      <c r="F3" s="28">
        <f t="shared" si="1"/>
        <v>0</v>
      </c>
      <c r="G3" s="28">
        <f t="shared" si="1"/>
        <v>0</v>
      </c>
      <c r="H3" s="28">
        <f t="shared" si="1"/>
        <v>1500</v>
      </c>
      <c r="I3" s="35">
        <f>SUM(C3:H3)</f>
        <v>46500</v>
      </c>
    </row>
    <row r="4" spans="1:10" x14ac:dyDescent="0.45">
      <c r="B4" s="25">
        <f>+B3+1</f>
        <v>2025</v>
      </c>
      <c r="C4" s="28">
        <f t="shared" ref="C4:H4" si="2">+C33</f>
        <v>0</v>
      </c>
      <c r="D4" s="28">
        <f t="shared" si="2"/>
        <v>0</v>
      </c>
      <c r="E4" s="28">
        <f t="shared" si="2"/>
        <v>25000</v>
      </c>
      <c r="F4" s="28">
        <f t="shared" si="2"/>
        <v>0</v>
      </c>
      <c r="G4" s="28">
        <f t="shared" si="2"/>
        <v>0</v>
      </c>
      <c r="H4" s="28">
        <f t="shared" si="2"/>
        <v>1500</v>
      </c>
      <c r="I4" s="35">
        <f>SUM(C4:H4)</f>
        <v>26500</v>
      </c>
    </row>
    <row r="5" spans="1:10" x14ac:dyDescent="0.45">
      <c r="B5" s="25">
        <f>+B4+1</f>
        <v>2026</v>
      </c>
      <c r="C5" s="28">
        <f t="shared" ref="C5:H5" si="3">+C40</f>
        <v>0</v>
      </c>
      <c r="D5" s="28">
        <f t="shared" si="3"/>
        <v>0</v>
      </c>
      <c r="E5" s="28">
        <f t="shared" si="3"/>
        <v>25000</v>
      </c>
      <c r="F5" s="28">
        <f t="shared" si="3"/>
        <v>0</v>
      </c>
      <c r="G5" s="28">
        <f t="shared" si="3"/>
        <v>0</v>
      </c>
      <c r="H5" s="28">
        <f t="shared" si="3"/>
        <v>1500</v>
      </c>
      <c r="I5" s="35">
        <f>SUM(C5:H5)</f>
        <v>26500</v>
      </c>
    </row>
    <row r="6" spans="1:10" x14ac:dyDescent="0.45">
      <c r="B6" s="25"/>
      <c r="C6" s="28"/>
      <c r="D6" s="28"/>
      <c r="E6" s="28"/>
      <c r="F6" s="28"/>
      <c r="G6" s="28"/>
      <c r="H6" s="28"/>
    </row>
    <row r="7" spans="1:10" x14ac:dyDescent="0.45">
      <c r="B7" s="25"/>
      <c r="C7" s="33" t="s">
        <v>184</v>
      </c>
      <c r="D7" s="33" t="s">
        <v>185</v>
      </c>
      <c r="E7" s="33" t="s">
        <v>187</v>
      </c>
      <c r="F7" s="33" t="s">
        <v>189</v>
      </c>
      <c r="G7" s="33" t="s">
        <v>191</v>
      </c>
      <c r="H7" s="34" t="s">
        <v>193</v>
      </c>
    </row>
    <row r="8" spans="1:10" ht="69.75" customHeight="1" x14ac:dyDescent="0.45">
      <c r="B8" s="29" t="s">
        <v>181</v>
      </c>
      <c r="C8" s="30" t="s">
        <v>183</v>
      </c>
      <c r="D8" s="30" t="s">
        <v>199</v>
      </c>
      <c r="E8" s="30" t="s">
        <v>186</v>
      </c>
      <c r="F8" s="30" t="s">
        <v>188</v>
      </c>
      <c r="G8" s="30" t="s">
        <v>190</v>
      </c>
      <c r="H8" s="30" t="s">
        <v>192</v>
      </c>
      <c r="I8" s="3" t="s">
        <v>197</v>
      </c>
      <c r="J8" s="2" t="s">
        <v>182</v>
      </c>
    </row>
    <row r="9" spans="1:10" x14ac:dyDescent="0.45">
      <c r="B9" s="25"/>
      <c r="C9" s="28"/>
      <c r="D9" s="28"/>
      <c r="E9" s="28"/>
      <c r="F9" s="28"/>
      <c r="G9" s="28"/>
      <c r="H9" s="26"/>
    </row>
    <row r="10" spans="1:10" x14ac:dyDescent="0.45">
      <c r="A10" s="31" t="s">
        <v>167</v>
      </c>
      <c r="B10" s="25"/>
      <c r="C10" s="32">
        <f t="shared" ref="C10:H10" si="4">SUM(C11:C24)</f>
        <v>140000</v>
      </c>
      <c r="D10" s="32">
        <f t="shared" si="4"/>
        <v>40000</v>
      </c>
      <c r="E10" s="32">
        <f t="shared" si="4"/>
        <v>40000</v>
      </c>
      <c r="F10" s="32">
        <f t="shared" si="4"/>
        <v>0</v>
      </c>
      <c r="G10" s="32">
        <f t="shared" si="4"/>
        <v>0</v>
      </c>
      <c r="H10" s="32">
        <f t="shared" si="4"/>
        <v>1500</v>
      </c>
      <c r="I10" s="3">
        <f>SUM(C10:H10)</f>
        <v>221500</v>
      </c>
    </row>
    <row r="11" spans="1:10" x14ac:dyDescent="0.45">
      <c r="A11" s="31"/>
      <c r="B11" s="26" t="s">
        <v>143</v>
      </c>
      <c r="C11" s="28">
        <v>0</v>
      </c>
      <c r="D11" s="28"/>
      <c r="E11" s="28"/>
      <c r="F11" s="28"/>
      <c r="G11" s="28"/>
      <c r="H11" s="26"/>
    </row>
    <row r="12" spans="1:10" x14ac:dyDescent="0.45">
      <c r="B12" s="26" t="s">
        <v>146</v>
      </c>
      <c r="C12" s="27">
        <v>0</v>
      </c>
      <c r="D12" s="27">
        <v>10000</v>
      </c>
      <c r="E12" s="27"/>
      <c r="F12" s="27"/>
      <c r="G12" s="27"/>
      <c r="H12" s="27"/>
    </row>
    <row r="13" spans="1:10" x14ac:dyDescent="0.45">
      <c r="B13" s="26" t="s">
        <v>238</v>
      </c>
      <c r="C13" s="27"/>
      <c r="D13" s="27"/>
      <c r="E13" s="27">
        <v>20000</v>
      </c>
      <c r="F13" s="27"/>
      <c r="G13" s="27"/>
      <c r="H13" s="27"/>
    </row>
    <row r="14" spans="1:10" x14ac:dyDescent="0.45">
      <c r="B14" s="26" t="s">
        <v>196</v>
      </c>
      <c r="C14" s="27">
        <v>10000</v>
      </c>
      <c r="D14" s="27">
        <v>10000</v>
      </c>
      <c r="E14" s="27"/>
      <c r="F14" s="27"/>
      <c r="G14" s="27"/>
      <c r="H14" s="27"/>
      <c r="J14" t="s">
        <v>148</v>
      </c>
    </row>
    <row r="15" spans="1:10" x14ac:dyDescent="0.45">
      <c r="B15" s="26" t="s">
        <v>174</v>
      </c>
      <c r="C15" s="27">
        <v>10000</v>
      </c>
      <c r="D15" s="27">
        <v>10000</v>
      </c>
      <c r="E15" s="27"/>
      <c r="F15" s="27"/>
      <c r="G15" s="27"/>
      <c r="H15" s="27"/>
      <c r="J15" t="s">
        <v>148</v>
      </c>
    </row>
    <row r="16" spans="1:10" x14ac:dyDescent="0.45">
      <c r="B16" s="26" t="s">
        <v>203</v>
      </c>
      <c r="C16" s="27">
        <v>60000</v>
      </c>
      <c r="D16" s="27">
        <v>0</v>
      </c>
      <c r="E16" s="27"/>
      <c r="F16" s="27"/>
      <c r="G16" s="27"/>
      <c r="H16" s="27"/>
      <c r="J16" t="s">
        <v>229</v>
      </c>
    </row>
    <row r="17" spans="1:10" x14ac:dyDescent="0.45">
      <c r="B17" s="26" t="s">
        <v>166</v>
      </c>
      <c r="C17" s="28">
        <v>10000</v>
      </c>
      <c r="D17" s="28">
        <v>10000</v>
      </c>
      <c r="E17" s="28"/>
      <c r="F17" s="28"/>
      <c r="G17" s="28"/>
      <c r="H17" s="28"/>
      <c r="I17" s="28"/>
    </row>
    <row r="18" spans="1:10" x14ac:dyDescent="0.45">
      <c r="B18" s="26" t="s">
        <v>214</v>
      </c>
      <c r="C18" s="27">
        <v>50000</v>
      </c>
      <c r="D18" s="27"/>
      <c r="E18" s="27"/>
      <c r="F18" s="27"/>
      <c r="G18" s="27"/>
      <c r="H18" s="27"/>
      <c r="J18" t="s">
        <v>215</v>
      </c>
    </row>
    <row r="19" spans="1:10" x14ac:dyDescent="0.45">
      <c r="A19" s="31"/>
      <c r="B19" s="26" t="s">
        <v>169</v>
      </c>
      <c r="C19" s="28"/>
      <c r="D19" s="28"/>
      <c r="E19" s="28">
        <v>0</v>
      </c>
      <c r="F19" s="28"/>
      <c r="G19" s="28"/>
      <c r="H19" s="26"/>
    </row>
    <row r="20" spans="1:10" x14ac:dyDescent="0.45">
      <c r="B20" s="26" t="s">
        <v>230</v>
      </c>
      <c r="C20" s="27"/>
      <c r="D20" s="27"/>
      <c r="E20" s="27">
        <v>20000</v>
      </c>
      <c r="F20" s="27"/>
      <c r="G20" s="27"/>
      <c r="H20" s="27"/>
      <c r="J20" s="1" t="s">
        <v>144</v>
      </c>
    </row>
    <row r="21" spans="1:10" x14ac:dyDescent="0.45">
      <c r="A21" s="31"/>
      <c r="B21" s="26" t="s">
        <v>195</v>
      </c>
      <c r="C21" s="28">
        <v>0</v>
      </c>
      <c r="D21" s="28">
        <v>0</v>
      </c>
      <c r="E21" s="28"/>
      <c r="F21" s="28"/>
      <c r="G21" s="28"/>
      <c r="H21" s="26"/>
    </row>
    <row r="22" spans="1:10" x14ac:dyDescent="0.45">
      <c r="B22" s="26" t="s">
        <v>175</v>
      </c>
      <c r="C22" s="26"/>
      <c r="D22" s="27"/>
      <c r="E22" s="27"/>
      <c r="F22" s="27"/>
      <c r="G22" s="27"/>
      <c r="H22" s="27">
        <v>1500</v>
      </c>
    </row>
    <row r="23" spans="1:10" x14ac:dyDescent="0.45">
      <c r="B23" s="26"/>
      <c r="C23" s="26"/>
      <c r="D23" s="27"/>
      <c r="E23" s="27"/>
      <c r="F23" s="27"/>
      <c r="G23" s="27"/>
      <c r="H23" s="27"/>
    </row>
    <row r="24" spans="1:10" x14ac:dyDescent="0.45">
      <c r="B24" s="25"/>
      <c r="C24" s="28"/>
      <c r="D24" s="28"/>
      <c r="E24" s="28"/>
      <c r="F24" s="28"/>
      <c r="G24" s="28"/>
      <c r="H24" s="26"/>
    </row>
    <row r="25" spans="1:10" x14ac:dyDescent="0.45">
      <c r="A25" s="31" t="s">
        <v>172</v>
      </c>
      <c r="B25" s="25"/>
      <c r="C25" s="32">
        <f t="shared" ref="C25:H25" si="5">SUM(C26:C32)</f>
        <v>10000</v>
      </c>
      <c r="D25" s="32">
        <f t="shared" si="5"/>
        <v>10000</v>
      </c>
      <c r="E25" s="32">
        <f t="shared" si="5"/>
        <v>25000</v>
      </c>
      <c r="F25" s="32">
        <f t="shared" si="5"/>
        <v>0</v>
      </c>
      <c r="G25" s="32">
        <f t="shared" si="5"/>
        <v>0</v>
      </c>
      <c r="H25" s="32">
        <f t="shared" si="5"/>
        <v>1500</v>
      </c>
      <c r="I25" s="3">
        <f>SUM(C25:H25)</f>
        <v>46500</v>
      </c>
    </row>
    <row r="26" spans="1:10" x14ac:dyDescent="0.45">
      <c r="A26" s="31"/>
      <c r="B26" s="26" t="s">
        <v>143</v>
      </c>
      <c r="C26" s="28">
        <v>0</v>
      </c>
      <c r="D26" s="28"/>
      <c r="E26" s="28"/>
      <c r="F26" s="28"/>
      <c r="G26" s="28"/>
      <c r="H26" s="26"/>
    </row>
    <row r="27" spans="1:10" x14ac:dyDescent="0.45">
      <c r="B27" s="26" t="s">
        <v>146</v>
      </c>
      <c r="C27" s="27"/>
      <c r="D27" s="27">
        <v>0</v>
      </c>
      <c r="E27" s="27"/>
      <c r="F27" s="27"/>
      <c r="G27" s="27"/>
      <c r="H27" s="27"/>
      <c r="J27" t="s">
        <v>147</v>
      </c>
    </row>
    <row r="28" spans="1:10" x14ac:dyDescent="0.45">
      <c r="B28" s="26" t="s">
        <v>145</v>
      </c>
      <c r="C28" s="27"/>
      <c r="D28" s="27"/>
      <c r="E28" s="27">
        <v>25000</v>
      </c>
      <c r="F28" s="27"/>
      <c r="G28" s="27"/>
      <c r="H28" s="27"/>
    </row>
    <row r="29" spans="1:10" x14ac:dyDescent="0.45">
      <c r="A29" s="31"/>
      <c r="B29" s="26" t="s">
        <v>195</v>
      </c>
      <c r="C29" s="28">
        <v>10000</v>
      </c>
      <c r="D29" s="28">
        <v>10000</v>
      </c>
      <c r="E29" s="28"/>
      <c r="F29" s="28"/>
      <c r="G29" s="28"/>
      <c r="H29" s="26"/>
    </row>
    <row r="30" spans="1:10" x14ac:dyDescent="0.45">
      <c r="B30" s="26" t="s">
        <v>175</v>
      </c>
      <c r="C30" s="26"/>
      <c r="D30" s="27"/>
      <c r="E30" s="27"/>
      <c r="F30" s="27"/>
      <c r="G30" s="27"/>
      <c r="H30" s="27">
        <v>1500</v>
      </c>
    </row>
    <row r="31" spans="1:10" x14ac:dyDescent="0.45">
      <c r="B31" s="26"/>
      <c r="C31" s="26"/>
      <c r="D31" s="27"/>
      <c r="E31" s="27"/>
      <c r="F31" s="27"/>
      <c r="G31" s="27"/>
      <c r="H31" s="27"/>
    </row>
    <row r="32" spans="1:10" x14ac:dyDescent="0.45">
      <c r="A32" s="31"/>
      <c r="B32" s="26"/>
      <c r="C32" s="28"/>
      <c r="D32" s="28"/>
      <c r="E32" s="28"/>
      <c r="F32" s="28"/>
      <c r="G32" s="28"/>
      <c r="H32" s="26"/>
    </row>
    <row r="33" spans="1:10" x14ac:dyDescent="0.45">
      <c r="A33" s="31" t="s">
        <v>180</v>
      </c>
      <c r="B33" s="25"/>
      <c r="C33" s="32">
        <f t="shared" ref="C33:H33" si="6">SUM(C34:C39)</f>
        <v>0</v>
      </c>
      <c r="D33" s="32">
        <f t="shared" si="6"/>
        <v>0</v>
      </c>
      <c r="E33" s="32">
        <f t="shared" si="6"/>
        <v>25000</v>
      </c>
      <c r="F33" s="32">
        <f t="shared" si="6"/>
        <v>0</v>
      </c>
      <c r="G33" s="32">
        <f t="shared" si="6"/>
        <v>0</v>
      </c>
      <c r="H33" s="32">
        <f t="shared" si="6"/>
        <v>1500</v>
      </c>
      <c r="I33" s="3">
        <f>SUM(C33:H33)</f>
        <v>26500</v>
      </c>
    </row>
    <row r="34" spans="1:10" x14ac:dyDescent="0.45">
      <c r="A34" s="31"/>
      <c r="B34" s="26" t="s">
        <v>143</v>
      </c>
      <c r="C34" s="28"/>
      <c r="D34" s="28"/>
      <c r="E34" s="28"/>
      <c r="F34" s="28"/>
      <c r="G34" s="28"/>
      <c r="H34" s="26"/>
    </row>
    <row r="35" spans="1:10" x14ac:dyDescent="0.45">
      <c r="B35" s="26" t="s">
        <v>145</v>
      </c>
      <c r="C35" s="27"/>
      <c r="D35" s="27"/>
      <c r="E35" s="27">
        <v>25000</v>
      </c>
      <c r="F35" s="27"/>
      <c r="G35" s="27"/>
      <c r="H35" s="27"/>
    </row>
    <row r="36" spans="1:10" x14ac:dyDescent="0.45">
      <c r="B36" s="26" t="s">
        <v>146</v>
      </c>
      <c r="C36" s="27">
        <v>0</v>
      </c>
      <c r="D36" s="27"/>
      <c r="E36" s="27"/>
      <c r="F36" s="27"/>
      <c r="G36" s="27"/>
      <c r="H36" s="27"/>
      <c r="J36" t="s">
        <v>147</v>
      </c>
    </row>
    <row r="37" spans="1:10" x14ac:dyDescent="0.45">
      <c r="B37" s="26" t="s">
        <v>175</v>
      </c>
      <c r="C37" s="26"/>
      <c r="D37" s="27"/>
      <c r="E37" s="27"/>
      <c r="F37" s="27"/>
      <c r="G37" s="27"/>
      <c r="H37" s="27">
        <v>1500</v>
      </c>
    </row>
    <row r="38" spans="1:10" x14ac:dyDescent="0.45">
      <c r="A38" s="31"/>
      <c r="B38" s="26"/>
      <c r="C38" s="28"/>
      <c r="D38" s="28"/>
      <c r="E38" s="28"/>
      <c r="F38" s="28"/>
      <c r="G38" s="28"/>
      <c r="H38" s="26"/>
    </row>
    <row r="39" spans="1:10" x14ac:dyDescent="0.45">
      <c r="A39" s="31"/>
      <c r="B39" s="26"/>
      <c r="C39" s="28"/>
      <c r="D39" s="28"/>
      <c r="E39" s="28"/>
      <c r="F39" s="28"/>
      <c r="G39" s="28"/>
      <c r="H39" s="26"/>
    </row>
    <row r="40" spans="1:10" x14ac:dyDescent="0.45">
      <c r="A40" s="31" t="s">
        <v>204</v>
      </c>
      <c r="B40" s="25"/>
      <c r="C40" s="32">
        <f t="shared" ref="C40:H40" si="7">SUM(C41:C45)</f>
        <v>0</v>
      </c>
      <c r="D40" s="32">
        <f t="shared" si="7"/>
        <v>0</v>
      </c>
      <c r="E40" s="32">
        <f t="shared" si="7"/>
        <v>25000</v>
      </c>
      <c r="F40" s="32">
        <f t="shared" si="7"/>
        <v>0</v>
      </c>
      <c r="G40" s="32">
        <f t="shared" si="7"/>
        <v>0</v>
      </c>
      <c r="H40" s="32">
        <f t="shared" si="7"/>
        <v>1500</v>
      </c>
      <c r="I40" s="3">
        <f>SUM(C40:H40)</f>
        <v>26500</v>
      </c>
    </row>
    <row r="41" spans="1:10" x14ac:dyDescent="0.45">
      <c r="A41" s="31"/>
      <c r="B41" s="26" t="s">
        <v>143</v>
      </c>
      <c r="C41" s="28"/>
      <c r="D41" s="28"/>
      <c r="E41" s="28"/>
      <c r="F41" s="28"/>
      <c r="G41" s="28"/>
      <c r="H41" s="26"/>
    </row>
    <row r="42" spans="1:10" x14ac:dyDescent="0.45">
      <c r="B42" s="26" t="s">
        <v>145</v>
      </c>
      <c r="C42" s="27"/>
      <c r="D42" s="27"/>
      <c r="E42" s="27">
        <v>25000</v>
      </c>
      <c r="F42" s="27"/>
      <c r="G42" s="27"/>
      <c r="H42" s="27"/>
    </row>
    <row r="43" spans="1:10" x14ac:dyDescent="0.45">
      <c r="B43" s="26" t="s">
        <v>146</v>
      </c>
      <c r="C43" s="27">
        <v>0</v>
      </c>
      <c r="D43" s="27"/>
      <c r="E43" s="27"/>
      <c r="F43" s="27"/>
      <c r="G43" s="27"/>
      <c r="H43" s="27"/>
      <c r="J43" t="s">
        <v>147</v>
      </c>
    </row>
    <row r="44" spans="1:10" x14ac:dyDescent="0.45">
      <c r="B44" s="26" t="s">
        <v>175</v>
      </c>
      <c r="C44" s="26"/>
      <c r="D44" s="27"/>
      <c r="E44" s="27"/>
      <c r="F44" s="27"/>
      <c r="G44" s="27"/>
      <c r="H44" s="27">
        <v>1500</v>
      </c>
    </row>
  </sheetData>
  <pageMargins left="0.25" right="0.25" top="0.75" bottom="0.75" header="0.3" footer="0.3"/>
  <pageSetup scale="70" fitToHeight="0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I20"/>
  <sheetViews>
    <sheetView showGridLines="0" zoomScale="145" zoomScaleNormal="145" workbookViewId="0"/>
  </sheetViews>
  <sheetFormatPr defaultRowHeight="14.25" x14ac:dyDescent="0.45"/>
  <cols>
    <col min="1" max="1" width="2.73046875" customWidth="1"/>
    <col min="2" max="2" width="44.1328125" bestFit="1" customWidth="1"/>
    <col min="3" max="3" width="20.3984375" bestFit="1" customWidth="1"/>
    <col min="4" max="8" width="18" customWidth="1"/>
    <col min="9" max="9" width="0" hidden="1" customWidth="1"/>
  </cols>
  <sheetData>
    <row r="2" spans="2:9" ht="25.5" x14ac:dyDescent="0.75">
      <c r="B2" s="50" t="s">
        <v>209</v>
      </c>
      <c r="C2" s="50"/>
      <c r="D2" s="50"/>
      <c r="E2" s="50"/>
      <c r="F2" s="50"/>
      <c r="G2" s="50"/>
      <c r="H2" s="50"/>
      <c r="I2" s="50"/>
    </row>
    <row r="3" spans="2:9" ht="9.9499999999999993" customHeight="1" x14ac:dyDescent="0.65">
      <c r="C3" s="8"/>
      <c r="D3" s="8"/>
      <c r="E3" s="8"/>
      <c r="F3" s="8"/>
      <c r="G3" s="8"/>
      <c r="H3" s="8"/>
    </row>
    <row r="4" spans="2:9" ht="21" x14ac:dyDescent="0.65">
      <c r="B4" s="9"/>
      <c r="C4" s="10" t="s">
        <v>224</v>
      </c>
      <c r="D4" s="10" t="s">
        <v>167</v>
      </c>
      <c r="E4" s="10" t="s">
        <v>172</v>
      </c>
      <c r="F4" s="10" t="s">
        <v>180</v>
      </c>
      <c r="G4" s="10" t="s">
        <v>204</v>
      </c>
      <c r="H4" s="10" t="s">
        <v>223</v>
      </c>
      <c r="I4" s="10" t="s">
        <v>168</v>
      </c>
    </row>
    <row r="5" spans="2:9" ht="21" x14ac:dyDescent="0.65">
      <c r="B5" s="11" t="s">
        <v>208</v>
      </c>
      <c r="C5" s="41">
        <v>1020000</v>
      </c>
      <c r="D5" s="41">
        <f>C13</f>
        <v>1200000</v>
      </c>
      <c r="E5" s="41">
        <f>D13</f>
        <v>1123000</v>
      </c>
      <c r="F5" s="41">
        <f>E13</f>
        <v>1108000</v>
      </c>
      <c r="G5" s="41">
        <f>F13</f>
        <v>1091000</v>
      </c>
      <c r="H5" s="41">
        <f>G13</f>
        <v>1171000</v>
      </c>
      <c r="I5" s="12"/>
    </row>
    <row r="6" spans="2:9" ht="9.9499999999999993" customHeight="1" x14ac:dyDescent="0.65">
      <c r="B6" s="13"/>
      <c r="C6" s="14"/>
      <c r="D6" s="14"/>
      <c r="E6" s="14"/>
      <c r="F6" s="14"/>
      <c r="G6" s="14"/>
      <c r="H6" s="14"/>
    </row>
    <row r="7" spans="2:9" ht="21" x14ac:dyDescent="0.65">
      <c r="B7" s="11" t="s">
        <v>153</v>
      </c>
      <c r="C7" s="12">
        <v>408000</v>
      </c>
      <c r="D7" s="15">
        <f>+BUDGET!H167</f>
        <v>405000</v>
      </c>
      <c r="E7" s="12">
        <v>400000</v>
      </c>
      <c r="F7" s="12">
        <v>400000</v>
      </c>
      <c r="G7" s="12">
        <v>400000</v>
      </c>
      <c r="H7" s="12">
        <v>400000</v>
      </c>
      <c r="I7" s="51">
        <f>SUM(C7:G8)</f>
        <v>2764300</v>
      </c>
    </row>
    <row r="8" spans="2:9" ht="21" x14ac:dyDescent="0.65">
      <c r="B8" s="11" t="s">
        <v>154</v>
      </c>
      <c r="C8" s="12">
        <f>610000-C7</f>
        <v>202000</v>
      </c>
      <c r="D8" s="12">
        <f>+BUDGET!H168</f>
        <v>174300</v>
      </c>
      <c r="E8" s="12">
        <v>100000</v>
      </c>
      <c r="F8" s="12">
        <v>100000</v>
      </c>
      <c r="G8" s="12">
        <v>175000</v>
      </c>
      <c r="H8" s="12">
        <v>100000</v>
      </c>
      <c r="I8" s="51"/>
    </row>
    <row r="9" spans="2:9" ht="9.9499999999999993" customHeight="1" x14ac:dyDescent="0.65">
      <c r="B9" s="13"/>
      <c r="C9" s="12"/>
      <c r="D9" s="12"/>
      <c r="E9" s="12"/>
      <c r="F9" s="12"/>
      <c r="G9" s="12"/>
      <c r="H9" s="12"/>
    </row>
    <row r="10" spans="2:9" ht="21" x14ac:dyDescent="0.65">
      <c r="B10" s="11" t="s">
        <v>155</v>
      </c>
      <c r="C10" s="12">
        <v>340000</v>
      </c>
      <c r="D10" s="12">
        <f>SUM(BUDGET!H171:H172)</f>
        <v>435256.25</v>
      </c>
      <c r="E10" s="12">
        <v>415000</v>
      </c>
      <c r="F10" s="12">
        <v>417500</v>
      </c>
      <c r="G10" s="12">
        <v>420000</v>
      </c>
      <c r="H10" s="12">
        <v>425000</v>
      </c>
      <c r="I10" s="12">
        <f>SUM(C10:G10)</f>
        <v>2027756.25</v>
      </c>
    </row>
    <row r="11" spans="2:9" ht="21" x14ac:dyDescent="0.65">
      <c r="B11" s="11" t="s">
        <v>198</v>
      </c>
      <c r="C11" s="12">
        <v>90000</v>
      </c>
      <c r="D11" s="12">
        <f>+BUDGET!H170</f>
        <v>221500</v>
      </c>
      <c r="E11" s="12">
        <v>100000</v>
      </c>
      <c r="F11" s="12">
        <v>100000</v>
      </c>
      <c r="G11" s="12">
        <v>75000</v>
      </c>
      <c r="H11" s="12">
        <v>75000</v>
      </c>
      <c r="I11" s="12">
        <f>SUM(C11:G11)</f>
        <v>586500</v>
      </c>
    </row>
    <row r="12" spans="2:9" ht="9.9499999999999993" customHeight="1" x14ac:dyDescent="0.65">
      <c r="I12" s="12"/>
    </row>
    <row r="13" spans="2:9" ht="21" x14ac:dyDescent="0.65">
      <c r="B13" s="11" t="s">
        <v>201</v>
      </c>
      <c r="C13" s="41">
        <f t="shared" ref="C13:H13" si="0">ROUND(C5+C7+C8-C10-C11,-3)</f>
        <v>1200000</v>
      </c>
      <c r="D13" s="41">
        <f t="shared" si="0"/>
        <v>1123000</v>
      </c>
      <c r="E13" s="41">
        <f t="shared" si="0"/>
        <v>1108000</v>
      </c>
      <c r="F13" s="41">
        <f t="shared" si="0"/>
        <v>1091000</v>
      </c>
      <c r="G13" s="41">
        <f t="shared" si="0"/>
        <v>1171000</v>
      </c>
      <c r="H13" s="41">
        <f t="shared" si="0"/>
        <v>1171000</v>
      </c>
      <c r="I13" s="12"/>
    </row>
    <row r="14" spans="2:9" ht="9.9499999999999993" customHeight="1" x14ac:dyDescent="0.65">
      <c r="B14" s="16"/>
      <c r="C14" s="16"/>
      <c r="D14" s="16"/>
      <c r="E14" s="16"/>
      <c r="F14" s="16"/>
      <c r="G14" s="16"/>
      <c r="H14" s="16"/>
      <c r="I14" s="12"/>
    </row>
    <row r="15" spans="2:9" ht="9.9499999999999993" customHeight="1" x14ac:dyDescent="0.65">
      <c r="B15" s="16"/>
      <c r="C15" s="16"/>
      <c r="D15" s="16"/>
      <c r="E15" s="16"/>
      <c r="F15" s="16"/>
      <c r="G15" s="16"/>
      <c r="H15" s="16"/>
      <c r="I15" s="12"/>
    </row>
    <row r="16" spans="2:9" ht="85.9" customHeight="1" x14ac:dyDescent="0.5">
      <c r="B16" s="52" t="s">
        <v>233</v>
      </c>
      <c r="C16" s="52"/>
      <c r="D16" s="52"/>
      <c r="E16" s="52"/>
      <c r="F16" s="52"/>
      <c r="G16" s="52"/>
      <c r="H16" s="52"/>
      <c r="I16" s="52"/>
    </row>
    <row r="17" spans="2:9" x14ac:dyDescent="0.45">
      <c r="B17" s="7"/>
      <c r="C17" s="7"/>
      <c r="D17" s="7"/>
      <c r="E17" s="7"/>
      <c r="F17" s="7"/>
      <c r="G17" s="7"/>
      <c r="H17" s="7"/>
      <c r="I17" s="7"/>
    </row>
    <row r="18" spans="2:9" x14ac:dyDescent="0.45">
      <c r="B18" s="7"/>
    </row>
    <row r="20" spans="2:9" x14ac:dyDescent="0.45">
      <c r="D20" s="7"/>
    </row>
  </sheetData>
  <mergeCells count="3">
    <mergeCell ref="B2:I2"/>
    <mergeCell ref="I7:I8"/>
    <mergeCell ref="B16:I16"/>
  </mergeCells>
  <pageMargins left="0.25" right="0.25" top="0.75" bottom="0.75" header="0.3" footer="0.3"/>
  <pageSetup scale="85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F5314-1211-418E-83E1-0E9CB6139B70}">
  <dimension ref="A1"/>
  <sheetViews>
    <sheetView workbookViewId="0"/>
  </sheetViews>
  <sheetFormatPr defaultRowHeight="14.25" x14ac:dyDescent="0.45"/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SUMMARY</vt:lpstr>
      <vt:lpstr>BUDGET</vt:lpstr>
      <vt:lpstr>ROADS</vt:lpstr>
      <vt:lpstr>PROJECTION</vt:lpstr>
      <vt:lpstr>HISTORICAL</vt:lpstr>
      <vt:lpstr>BUDGET!Print_Area</vt:lpstr>
      <vt:lpstr>PROJECTION!Print_Area</vt:lpstr>
      <vt:lpstr>BUDGET!Print_Titles</vt:lpstr>
      <vt:lpstr>ROADS!Print_Titles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Winde</dc:creator>
  <cp:lastModifiedBy>Ron Mossberg</cp:lastModifiedBy>
  <cp:lastPrinted>2021-12-02T22:39:44Z</cp:lastPrinted>
  <dcterms:created xsi:type="dcterms:W3CDTF">2018-10-22T00:51:34Z</dcterms:created>
  <dcterms:modified xsi:type="dcterms:W3CDTF">2022-11-18T03:12:36Z</dcterms:modified>
</cp:coreProperties>
</file>