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fileSharing userName="Ron Mossberg" algorithmName="SHA-512" hashValue="kTSlbY/KvWkVoUfzhN2plpYR7Iv4AhSmEprpvjzTFhj/+C909DDQJroWs2spJHNGzl5DCuJWKM8BhmRJwawMqg==" saltValue="tjpXi6Pmanf/IAQ6mucH3Q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e\Google Drive\Windemere Township\Budget\2022\"/>
    </mc:Choice>
  </mc:AlternateContent>
  <xr:revisionPtr revIDLastSave="0" documentId="8_{BAAA0D5D-8ADC-4CB1-A829-BAF76D93A451}" xr6:coauthVersionLast="47" xr6:coauthVersionMax="47" xr10:uidLastSave="{00000000-0000-0000-0000-000000000000}"/>
  <bookViews>
    <workbookView xWindow="-98" yWindow="-98" windowWidth="28996" windowHeight="16395" xr2:uid="{00000000-000D-0000-FFFF-FFFF00000000}"/>
  </bookViews>
  <sheets>
    <sheet name="SUMMARY" sheetId="5" r:id="rId1"/>
    <sheet name="BUDGET" sheetId="3" r:id="rId2"/>
    <sheet name="ROADS" sheetId="7" r:id="rId3"/>
    <sheet name="PROJECTION" sheetId="6" r:id="rId4"/>
    <sheet name="HISTORICAL" sheetId="8" r:id="rId5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">BUDGET!$A$1:$O$173</definedName>
    <definedName name="_xlnm.Print_Area" localSheetId="3">PROJECTION!$A$1:$I$28</definedName>
    <definedName name="_xlnm.Print_Titles" localSheetId="1">BUDGET!$1:$5</definedName>
    <definedName name="_xlnm.Print_Titles" localSheetId="2">ROADS!$1:$9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6" l="1"/>
  <c r="G20" i="6"/>
  <c r="F20" i="6"/>
  <c r="E20" i="6"/>
  <c r="H38" i="3"/>
  <c r="C17" i="6"/>
  <c r="C8" i="6"/>
  <c r="N9" i="5"/>
  <c r="H92" i="3"/>
  <c r="H91" i="3"/>
  <c r="H46" i="3"/>
  <c r="O158" i="3" l="1"/>
  <c r="O157" i="3"/>
  <c r="O155" i="3"/>
  <c r="O152" i="3"/>
  <c r="O149" i="3"/>
  <c r="O147" i="3"/>
  <c r="O146" i="3"/>
  <c r="O145" i="3"/>
  <c r="O144" i="3"/>
  <c r="O143" i="3"/>
  <c r="O142" i="3"/>
  <c r="O139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5" i="3"/>
  <c r="O124" i="3"/>
  <c r="O120" i="3"/>
  <c r="O119" i="3"/>
  <c r="O117" i="3"/>
  <c r="O116" i="3"/>
  <c r="O112" i="3"/>
  <c r="O110" i="3"/>
  <c r="O109" i="3"/>
  <c r="O107" i="3"/>
  <c r="O106" i="3"/>
  <c r="O105" i="3"/>
  <c r="O104" i="3"/>
  <c r="O103" i="3"/>
  <c r="O98" i="3"/>
  <c r="O96" i="3"/>
  <c r="O95" i="3"/>
  <c r="O93" i="3"/>
  <c r="O92" i="3"/>
  <c r="O91" i="3"/>
  <c r="O90" i="3"/>
  <c r="O88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6" i="3"/>
  <c r="O55" i="3"/>
  <c r="O54" i="3"/>
  <c r="O53" i="3"/>
  <c r="O52" i="3"/>
  <c r="O51" i="3"/>
  <c r="O47" i="3"/>
  <c r="O46" i="3"/>
  <c r="O45" i="3"/>
  <c r="O44" i="3"/>
  <c r="O43" i="3"/>
  <c r="O36" i="3"/>
  <c r="O35" i="3"/>
  <c r="O34" i="3"/>
  <c r="O30" i="3"/>
  <c r="O29" i="3"/>
  <c r="O28" i="3"/>
  <c r="O27" i="3"/>
  <c r="O22" i="3"/>
  <c r="O21" i="3"/>
  <c r="O20" i="3"/>
  <c r="O16" i="3"/>
  <c r="O13" i="3"/>
  <c r="O10" i="3"/>
  <c r="O9" i="3"/>
  <c r="H146" i="3" l="1"/>
  <c r="I150" i="3"/>
  <c r="O150" i="3" s="1"/>
  <c r="E22" i="6"/>
  <c r="F22" i="6" s="1"/>
  <c r="G22" i="6" s="1"/>
  <c r="I169" i="3" l="1"/>
  <c r="I167" i="3"/>
  <c r="I166" i="3"/>
  <c r="I118" i="3"/>
  <c r="I121" i="3" s="1"/>
  <c r="H68" i="3"/>
  <c r="I170" i="3" l="1"/>
  <c r="I171" i="3" s="1"/>
  <c r="H169" i="3"/>
  <c r="H144" i="3"/>
  <c r="H143" i="3"/>
  <c r="H118" i="3"/>
  <c r="H121" i="3" s="1"/>
  <c r="N13" i="5" s="1"/>
  <c r="H106" i="3"/>
  <c r="H105" i="3"/>
  <c r="H94" i="3"/>
  <c r="H85" i="3"/>
  <c r="H54" i="3"/>
  <c r="H53" i="3"/>
  <c r="H48" i="3"/>
  <c r="H49" i="3" s="1"/>
  <c r="N6" i="5" s="1"/>
  <c r="H37" i="3"/>
  <c r="G10" i="5" s="1"/>
  <c r="H31" i="3"/>
  <c r="H32" i="3" s="1"/>
  <c r="G9" i="5" s="1"/>
  <c r="H23" i="3"/>
  <c r="H24" i="3" s="1"/>
  <c r="G8" i="5" s="1"/>
  <c r="H17" i="3"/>
  <c r="G7" i="5" s="1"/>
  <c r="H14" i="3"/>
  <c r="G6" i="5" s="1"/>
  <c r="H11" i="3"/>
  <c r="H54" i="7"/>
  <c r="H6" i="7" s="1"/>
  <c r="G54" i="7"/>
  <c r="G6" i="7" s="1"/>
  <c r="F54" i="7"/>
  <c r="E54" i="7"/>
  <c r="E6" i="7" s="1"/>
  <c r="D54" i="7"/>
  <c r="D6" i="7" s="1"/>
  <c r="C54" i="7"/>
  <c r="C6" i="7" s="1"/>
  <c r="C46" i="7"/>
  <c r="D46" i="7"/>
  <c r="H46" i="7"/>
  <c r="G46" i="7"/>
  <c r="F46" i="7"/>
  <c r="E46" i="7"/>
  <c r="E21" i="6"/>
  <c r="O141" i="3"/>
  <c r="N148" i="3"/>
  <c r="M148" i="3"/>
  <c r="M151" i="3" s="1"/>
  <c r="M153" i="3" s="1"/>
  <c r="N159" i="3"/>
  <c r="M159" i="3"/>
  <c r="N108" i="3"/>
  <c r="M108" i="3"/>
  <c r="M111" i="3" s="1"/>
  <c r="N94" i="3"/>
  <c r="M94" i="3"/>
  <c r="M97" i="3" s="1"/>
  <c r="N85" i="3"/>
  <c r="M85" i="3"/>
  <c r="M86" i="3" s="1"/>
  <c r="N37" i="3"/>
  <c r="M37" i="3"/>
  <c r="N23" i="3"/>
  <c r="M23" i="3"/>
  <c r="N17" i="3"/>
  <c r="M17" i="3"/>
  <c r="N14" i="3"/>
  <c r="M14" i="3"/>
  <c r="N11" i="3"/>
  <c r="M11" i="3"/>
  <c r="N156" i="3"/>
  <c r="M156" i="3"/>
  <c r="N118" i="3"/>
  <c r="M118" i="3"/>
  <c r="M121" i="3" s="1"/>
  <c r="N48" i="3"/>
  <c r="M48" i="3"/>
  <c r="M49" i="3" s="1"/>
  <c r="N31" i="3"/>
  <c r="M31" i="3"/>
  <c r="L148" i="3"/>
  <c r="L151" i="3" s="1"/>
  <c r="L153" i="3" s="1"/>
  <c r="K148" i="3"/>
  <c r="K151" i="3" s="1"/>
  <c r="K153" i="3" s="1"/>
  <c r="L118" i="3"/>
  <c r="L121" i="3" s="1"/>
  <c r="K118" i="3"/>
  <c r="K121" i="3" s="1"/>
  <c r="L108" i="3"/>
  <c r="L111" i="3" s="1"/>
  <c r="K108" i="3"/>
  <c r="K111" i="3" s="1"/>
  <c r="L94" i="3"/>
  <c r="L97" i="3" s="1"/>
  <c r="K94" i="3"/>
  <c r="K97" i="3" s="1"/>
  <c r="L85" i="3"/>
  <c r="L86" i="3" s="1"/>
  <c r="K85" i="3"/>
  <c r="K86" i="3" s="1"/>
  <c r="L48" i="3"/>
  <c r="L49" i="3" s="1"/>
  <c r="K48" i="3"/>
  <c r="K49" i="3" s="1"/>
  <c r="L37" i="3"/>
  <c r="K37" i="3"/>
  <c r="L31" i="3"/>
  <c r="L32" i="3" s="1"/>
  <c r="K31" i="3"/>
  <c r="K32" i="3" s="1"/>
  <c r="L23" i="3"/>
  <c r="L24" i="3" s="1"/>
  <c r="K23" i="3"/>
  <c r="K24" i="3" s="1"/>
  <c r="L14" i="3"/>
  <c r="K14" i="3"/>
  <c r="L11" i="3"/>
  <c r="K11" i="3"/>
  <c r="L159" i="3"/>
  <c r="F21" i="6" l="1"/>
  <c r="E19" i="6"/>
  <c r="O156" i="3"/>
  <c r="O14" i="3"/>
  <c r="O17" i="3"/>
  <c r="N24" i="3"/>
  <c r="O23" i="3"/>
  <c r="O108" i="3"/>
  <c r="N49" i="3"/>
  <c r="O49" i="3" s="1"/>
  <c r="O48" i="3"/>
  <c r="N86" i="3"/>
  <c r="O86" i="3" s="1"/>
  <c r="O85" i="3"/>
  <c r="N151" i="3"/>
  <c r="O151" i="3" s="1"/>
  <c r="O148" i="3"/>
  <c r="H97" i="3"/>
  <c r="N8" i="5" s="1"/>
  <c r="N32" i="3"/>
  <c r="O31" i="3"/>
  <c r="N121" i="3"/>
  <c r="O121" i="3" s="1"/>
  <c r="O118" i="3"/>
  <c r="O11" i="3"/>
  <c r="O37" i="3"/>
  <c r="N97" i="3"/>
  <c r="O97" i="3" s="1"/>
  <c r="O94" i="3"/>
  <c r="O159" i="3"/>
  <c r="H166" i="3"/>
  <c r="D7" i="6"/>
  <c r="D8" i="6" s="1"/>
  <c r="G5" i="5"/>
  <c r="G11" i="5" s="1"/>
  <c r="L38" i="3"/>
  <c r="H148" i="3"/>
  <c r="H151" i="3" s="1"/>
  <c r="H153" i="3" s="1"/>
  <c r="H86" i="3"/>
  <c r="H108" i="3"/>
  <c r="H111" i="3" s="1"/>
  <c r="N10" i="5" s="1"/>
  <c r="I54" i="7"/>
  <c r="F6" i="7"/>
  <c r="I6" i="7" s="1"/>
  <c r="H13" i="6" s="1"/>
  <c r="M113" i="3"/>
  <c r="M161" i="3" s="1"/>
  <c r="N111" i="3"/>
  <c r="O111" i="3" s="1"/>
  <c r="M32" i="3"/>
  <c r="M24" i="3"/>
  <c r="L113" i="3"/>
  <c r="L161" i="3" s="1"/>
  <c r="K113" i="3"/>
  <c r="K161" i="3" s="1"/>
  <c r="K38" i="3"/>
  <c r="G21" i="6" l="1"/>
  <c r="F19" i="6"/>
  <c r="F15" i="6" s="1"/>
  <c r="N7" i="5"/>
  <c r="N11" i="5" s="1"/>
  <c r="H113" i="3"/>
  <c r="H161" i="3" s="1"/>
  <c r="N153" i="3"/>
  <c r="O153" i="3" s="1"/>
  <c r="O32" i="3"/>
  <c r="L162" i="3"/>
  <c r="N38" i="3"/>
  <c r="O24" i="3"/>
  <c r="H170" i="3"/>
  <c r="N14" i="5"/>
  <c r="H167" i="3"/>
  <c r="N113" i="3"/>
  <c r="M38" i="3"/>
  <c r="K162" i="3"/>
  <c r="H21" i="6" l="1"/>
  <c r="H19" i="6" s="1"/>
  <c r="G19" i="6"/>
  <c r="G15" i="6" s="1"/>
  <c r="N161" i="3"/>
  <c r="O113" i="3"/>
  <c r="O38" i="3"/>
  <c r="N15" i="5"/>
  <c r="H171" i="3"/>
  <c r="H162" i="3"/>
  <c r="M162" i="3"/>
  <c r="N162" i="3" l="1"/>
  <c r="O162" i="3" s="1"/>
  <c r="O161" i="3"/>
  <c r="N17" i="5"/>
  <c r="O7" i="5"/>
  <c r="O6" i="5"/>
  <c r="O9" i="5"/>
  <c r="O13" i="5"/>
  <c r="O8" i="5"/>
  <c r="O15" i="5"/>
  <c r="O14" i="5"/>
  <c r="O10" i="5"/>
  <c r="O11" i="5"/>
  <c r="B3" i="7"/>
  <c r="B4" i="7" s="1"/>
  <c r="B5" i="7" s="1"/>
  <c r="B6" i="7" s="1"/>
  <c r="C24" i="6"/>
  <c r="H5" i="7" l="1"/>
  <c r="G5" i="7"/>
  <c r="F5" i="7"/>
  <c r="E5" i="7"/>
  <c r="D5" i="7"/>
  <c r="C5" i="7"/>
  <c r="H37" i="7"/>
  <c r="H4" i="7" s="1"/>
  <c r="G37" i="7"/>
  <c r="G4" i="7" s="1"/>
  <c r="F37" i="7"/>
  <c r="F4" i="7" s="1"/>
  <c r="E37" i="7"/>
  <c r="E4" i="7" s="1"/>
  <c r="D37" i="7"/>
  <c r="D4" i="7" s="1"/>
  <c r="C37" i="7"/>
  <c r="C4" i="7" s="1"/>
  <c r="H27" i="7"/>
  <c r="H3" i="7" s="1"/>
  <c r="G27" i="7"/>
  <c r="G3" i="7" s="1"/>
  <c r="F27" i="7"/>
  <c r="F3" i="7" s="1"/>
  <c r="E27" i="7"/>
  <c r="E3" i="7" s="1"/>
  <c r="D27" i="7"/>
  <c r="D3" i="7" s="1"/>
  <c r="C27" i="7"/>
  <c r="C3" i="7" s="1"/>
  <c r="H11" i="7"/>
  <c r="H2" i="7" s="1"/>
  <c r="G11" i="7"/>
  <c r="G2" i="7" s="1"/>
  <c r="F11" i="7"/>
  <c r="F2" i="7" s="1"/>
  <c r="E11" i="7"/>
  <c r="E2" i="7" s="1"/>
  <c r="D11" i="7"/>
  <c r="D2" i="7" s="1"/>
  <c r="C11" i="7"/>
  <c r="C2" i="7" s="1"/>
  <c r="I5" i="7" l="1"/>
  <c r="G13" i="6" s="1"/>
  <c r="I3" i="7"/>
  <c r="E13" i="6" s="1"/>
  <c r="I2" i="7"/>
  <c r="D13" i="6" s="1"/>
  <c r="D12" i="6" s="1"/>
  <c r="D20" i="6" s="1"/>
  <c r="D19" i="6" s="1"/>
  <c r="D15" i="6" s="1"/>
  <c r="I37" i="7"/>
  <c r="I46" i="7"/>
  <c r="I4" i="7"/>
  <c r="F13" i="6" s="1"/>
  <c r="I11" i="7"/>
  <c r="I27" i="7"/>
  <c r="I7" i="6" l="1"/>
  <c r="I13" i="6" l="1"/>
  <c r="I12" i="6" l="1"/>
  <c r="D5" i="6" l="1"/>
  <c r="D17" i="6" s="1"/>
  <c r="E5" i="6" l="1"/>
  <c r="E17" i="6" s="1"/>
  <c r="D24" i="6"/>
  <c r="F5" i="6" l="1"/>
  <c r="F17" i="6" l="1"/>
  <c r="G5" i="6" l="1"/>
  <c r="G17" i="6" l="1"/>
  <c r="H5" i="6" s="1"/>
  <c r="H17" i="6" l="1"/>
  <c r="E24" i="6" l="1"/>
  <c r="E15" i="6"/>
  <c r="G24" i="6" l="1"/>
  <c r="H24" i="6"/>
  <c r="F24" i="6"/>
</calcChain>
</file>

<file path=xl/sharedStrings.xml><?xml version="1.0" encoding="utf-8"?>
<sst xmlns="http://schemas.openxmlformats.org/spreadsheetml/2006/main" count="309" uniqueCount="251">
  <si>
    <t>31000 · General Property Taxes</t>
  </si>
  <si>
    <t>31010 · Current Property Taxes</t>
  </si>
  <si>
    <t>31020 · Delinquent Property Taxes</t>
  </si>
  <si>
    <t>Total 31000 · General Property Taxes</t>
  </si>
  <si>
    <t>31900 · Delinquent Taxes</t>
  </si>
  <si>
    <t>31920 · Tax Forfeiture Sales</t>
  </si>
  <si>
    <t>Total 31900 · Delinquent Taxes</t>
  </si>
  <si>
    <t>32000 · Licenses and Permits</t>
  </si>
  <si>
    <t>32110 · Alcoholic Beverages</t>
  </si>
  <si>
    <t>Total 32000 · Licenses and Permits</t>
  </si>
  <si>
    <t>33000 · Intergovernmental Revenues</t>
  </si>
  <si>
    <t>33400 · State Grants and Aids.</t>
  </si>
  <si>
    <t>33401 · Local Government Aid</t>
  </si>
  <si>
    <t>33418 · Refund of Gas Tax</t>
  </si>
  <si>
    <t>33428 · Payments in Lieu of Taxes</t>
  </si>
  <si>
    <t>Total 33400 · State Grants and Aids.</t>
  </si>
  <si>
    <t>Total 33000 · Intergovernmental Revenues</t>
  </si>
  <si>
    <t>34000 · Charges for Services</t>
  </si>
  <si>
    <t>34100 · General Government</t>
  </si>
  <si>
    <t>34102 · Recording Fees</t>
  </si>
  <si>
    <t>34103 · Zoning and Subdivision Fees</t>
  </si>
  <si>
    <t>34111 · Variance Application Fees</t>
  </si>
  <si>
    <t>Total 34100 · General Government</t>
  </si>
  <si>
    <t>Total 34000 · Charges for Services</t>
  </si>
  <si>
    <t>36200 · Miscellaneous Revenues</t>
  </si>
  <si>
    <t>36210 · Interest Earnings</t>
  </si>
  <si>
    <t>36230 · Donations from Private Sources</t>
  </si>
  <si>
    <t>36200 · Miscellaneous Revenues - Other</t>
  </si>
  <si>
    <t>Total 36200 · Miscellaneous Revenues</t>
  </si>
  <si>
    <t>Expense</t>
  </si>
  <si>
    <t>41000 · General Government</t>
  </si>
  <si>
    <t>41100 · Legislative</t>
  </si>
  <si>
    <t>41110 · Township Board</t>
  </si>
  <si>
    <t>103.1 · Part-Time Employee Wages</t>
  </si>
  <si>
    <t>119.1 · Personal Mileage Reimbursement</t>
  </si>
  <si>
    <t>122.1 · FICA Contributions</t>
  </si>
  <si>
    <t>142.1 · Unemployment Comp Benefits</t>
  </si>
  <si>
    <t>Total 41110 · Township Board</t>
  </si>
  <si>
    <t>Total 41100 · Legislative</t>
  </si>
  <si>
    <t>41400 · Township Clerk</t>
  </si>
  <si>
    <t>103.2 · Part-Time Employee Wages</t>
  </si>
  <si>
    <t>121.2 · PERA Contributions</t>
  </si>
  <si>
    <t>122.2 · FICA Contributions</t>
  </si>
  <si>
    <t>41410 · Elections</t>
  </si>
  <si>
    <t>41420 · Recording and Reporting</t>
  </si>
  <si>
    <t>41430 · Other Township Expenses</t>
  </si>
  <si>
    <t>133 · Life Insurance</t>
  </si>
  <si>
    <t>199 · Service / Late Fees</t>
  </si>
  <si>
    <t>201 · Accessories</t>
  </si>
  <si>
    <t>202 · Printing &amp; Copying</t>
  </si>
  <si>
    <t>203 · Paper Products</t>
  </si>
  <si>
    <t>207 · Training &amp; Materials</t>
  </si>
  <si>
    <t>208 · Food and Beverages</t>
  </si>
  <si>
    <t>240.1 · Equipment</t>
  </si>
  <si>
    <t>321 · Telephone</t>
  </si>
  <si>
    <t>322 · Postage</t>
  </si>
  <si>
    <t>325 · Internet</t>
  </si>
  <si>
    <t>331 · Travel</t>
  </si>
  <si>
    <t>340 · Advertising</t>
  </si>
  <si>
    <t>361 · General Liability Insurance</t>
  </si>
  <si>
    <t>362 · Property Insurance</t>
  </si>
  <si>
    <t>381 · Electriity</t>
  </si>
  <si>
    <t>383 · Propane</t>
  </si>
  <si>
    <t>385 · Sewer / Septic</t>
  </si>
  <si>
    <t>401 · Building Repair</t>
  </si>
  <si>
    <t>405 · Cleaning Services</t>
  </si>
  <si>
    <t>433 · Dues and Subscriptions</t>
  </si>
  <si>
    <t>490 · Donations to Civic Organization</t>
  </si>
  <si>
    <t>570 · Office Equip and Furnishings</t>
  </si>
  <si>
    <t>41430 · Other Township Expenses - Other</t>
  </si>
  <si>
    <t>Total 41430 · Other Township Expenses</t>
  </si>
  <si>
    <t>Total 41400 · Township Clerk</t>
  </si>
  <si>
    <t>41500 · Financial Management</t>
  </si>
  <si>
    <t>301 · Auditing &amp; Accounting Services</t>
  </si>
  <si>
    <t>41510 · Township Treasurer</t>
  </si>
  <si>
    <t>103.3 · Part-Time Employee Wages</t>
  </si>
  <si>
    <t>122.3 · FICA Contributions</t>
  </si>
  <si>
    <t>Total 41510 · Township Treasurer</t>
  </si>
  <si>
    <t>41550 · Assessment Expenses</t>
  </si>
  <si>
    <t>Total 41500 · Financial Management</t>
  </si>
  <si>
    <t>41600 · Legal Services</t>
  </si>
  <si>
    <t>41900 · Other General Government</t>
  </si>
  <si>
    <t>41910 · Planning and Zoning</t>
  </si>
  <si>
    <t>103.4 · Part-Time Employee Wages</t>
  </si>
  <si>
    <t>122.4 · FICA Contributions</t>
  </si>
  <si>
    <t>41910 · Planning and Zoning - Other</t>
  </si>
  <si>
    <t>Total 41910 · Planning and Zoning</t>
  </si>
  <si>
    <t>41920 · Data Processing</t>
  </si>
  <si>
    <t>Total 41900 · Other General Government</t>
  </si>
  <si>
    <t>41000 · General Government - Other</t>
  </si>
  <si>
    <t>Total 41000 · General Government</t>
  </si>
  <si>
    <t>42000 · Public Safety</t>
  </si>
  <si>
    <t>42200 · Fire</t>
  </si>
  <si>
    <t>42220 · Fire Fighting</t>
  </si>
  <si>
    <t>42260 · Fire Repair Services</t>
  </si>
  <si>
    <t>Total 42200 · Fire</t>
  </si>
  <si>
    <t>42600 · Traffic Signs</t>
  </si>
  <si>
    <t>42700 · Animal Control</t>
  </si>
  <si>
    <t>Total 42000 · Public Safety</t>
  </si>
  <si>
    <t>43000 · Public Works</t>
  </si>
  <si>
    <t>43100 · Highways, Streets and Roadways</t>
  </si>
  <si>
    <t>212 · Motor Fuels</t>
  </si>
  <si>
    <t>213 · Lubricants and Additives</t>
  </si>
  <si>
    <t>215 · Shop Materials</t>
  </si>
  <si>
    <t>220 · Repair and Maintenance Supplies</t>
  </si>
  <si>
    <t>224 · Road Materials</t>
  </si>
  <si>
    <t>240.2 · Small Tools and Minor Equipment</t>
  </si>
  <si>
    <t>303 · Engineering and Surveying Fees</t>
  </si>
  <si>
    <t>334 · Vehicle Registration / Tabs</t>
  </si>
  <si>
    <t>363 · Automobile Insurance</t>
  </si>
  <si>
    <t>404 · Machinery and Equipment Repair</t>
  </si>
  <si>
    <t>416 · Machinery Rental</t>
  </si>
  <si>
    <t>43122 · Road Maintenance</t>
  </si>
  <si>
    <t>103.5 · Part-time Employee Wages</t>
  </si>
  <si>
    <t>121.5 · PERA Contributions</t>
  </si>
  <si>
    <t>122.5 · FICA Contributions</t>
  </si>
  <si>
    <t>131.5 · Health Insurance</t>
  </si>
  <si>
    <t>43122 · Road Maintenance - Other</t>
  </si>
  <si>
    <t>Total 43122 · Road Maintenance</t>
  </si>
  <si>
    <t>43126 · Road Equipment</t>
  </si>
  <si>
    <t>43100 · Highways, Streets and Roadways - Other</t>
  </si>
  <si>
    <t>Total 43100 · Highways, Streets and Roadways</t>
  </si>
  <si>
    <t>43200 · Sanitation</t>
  </si>
  <si>
    <t>Total 43000 · Public Works</t>
  </si>
  <si>
    <t>47000 · Debt Service</t>
  </si>
  <si>
    <t>47210 · Bond Interest Payments</t>
  </si>
  <si>
    <t>Total 47000 · Debt Service</t>
  </si>
  <si>
    <t>Total Expense</t>
  </si>
  <si>
    <t>34110 · Septic Permit</t>
  </si>
  <si>
    <t>121.1 · PERA Contributions</t>
  </si>
  <si>
    <t>119.2 · Personal Mileage Reimbursement</t>
  </si>
  <si>
    <t>151 · Worker's Comp Insurance</t>
  </si>
  <si>
    <t>41510 · Township Treasurer - Other</t>
  </si>
  <si>
    <t>41500 · Financial Management - Other</t>
  </si>
  <si>
    <t>119.4 · Personal Mileage Reimbursement</t>
  </si>
  <si>
    <t>121.4 · PERA Contributions</t>
  </si>
  <si>
    <t>41940 · Building Maintenance</t>
  </si>
  <si>
    <t>119.5 · Personal Mileage Reimbursement</t>
  </si>
  <si>
    <t>211 · Cleaning Supplies</t>
  </si>
  <si>
    <t>222 · Tires</t>
  </si>
  <si>
    <t>44000 · Health and Welfare</t>
  </si>
  <si>
    <t>44133 · Sanitary Sewer Inspection</t>
  </si>
  <si>
    <t>Total 44000 · Health and Welfare</t>
  </si>
  <si>
    <t>384 · Garbage Disposal</t>
  </si>
  <si>
    <t>112.5 · Admin/Union Dues Contribution</t>
  </si>
  <si>
    <t>121.3 · PERA Contributions</t>
  </si>
  <si>
    <t>Notes</t>
  </si>
  <si>
    <t>QuickBooks payroll fee</t>
  </si>
  <si>
    <t>Chip Sealing</t>
  </si>
  <si>
    <t>Striping</t>
  </si>
  <si>
    <t>Gravel and salt, culverts</t>
  </si>
  <si>
    <t>Gravel hauling</t>
  </si>
  <si>
    <t>Document R/O/W for all Roads</t>
  </si>
  <si>
    <t>Miles of roads: 48.6   Number of roads: 79</t>
  </si>
  <si>
    <t>Box culvert</t>
  </si>
  <si>
    <t>Actual</t>
  </si>
  <si>
    <t>2019</t>
  </si>
  <si>
    <t>Plan for a 5-year audit cycle</t>
  </si>
  <si>
    <t>SUMMARY</t>
  </si>
  <si>
    <t>Levy Revenue</t>
  </si>
  <si>
    <t>Other Revenue</t>
  </si>
  <si>
    <t>Operating Expenses</t>
  </si>
  <si>
    <t>Difference</t>
  </si>
  <si>
    <t>Revenue</t>
  </si>
  <si>
    <t>Total Revenue</t>
  </si>
  <si>
    <t>41400 · Clerk &amp; Operations</t>
  </si>
  <si>
    <t>41100 · Supervisory</t>
  </si>
  <si>
    <t>41500 · Treasurer &amp; Financial Mgmt</t>
  </si>
  <si>
    <t>41900 · Planning &amp; Zonging / Other</t>
  </si>
  <si>
    <t>42000 · Public Safety &amp; Fire</t>
  </si>
  <si>
    <t>43000 · Highways, Streets, Bridges</t>
  </si>
  <si>
    <t>Revenue/Expense</t>
  </si>
  <si>
    <t>Sturgeon Island Bridge</t>
  </si>
  <si>
    <t>2023</t>
  </si>
  <si>
    <t>5 year</t>
  </si>
  <si>
    <t>Gravel Crushing</t>
  </si>
  <si>
    <t>Budget</t>
  </si>
  <si>
    <t>2020</t>
  </si>
  <si>
    <t>2024</t>
  </si>
  <si>
    <t>Star Gazette and Evergreen duplicate ads</t>
  </si>
  <si>
    <t>Island Lake Rd (north end) culvert</t>
  </si>
  <si>
    <t>Equipment rental</t>
  </si>
  <si>
    <t>Windemere Township 5-Year Capital Expenses Projection</t>
  </si>
  <si>
    <t>Administrative Operating Expenses</t>
  </si>
  <si>
    <t>Road Operations Expenses</t>
  </si>
  <si>
    <t>2021</t>
  </si>
  <si>
    <t>2025</t>
  </si>
  <si>
    <t>Project</t>
  </si>
  <si>
    <t>Project Notes</t>
  </si>
  <si>
    <t>Road Construction</t>
  </si>
  <si>
    <t>Acct 43100</t>
  </si>
  <si>
    <t>Acct 303</t>
  </si>
  <si>
    <t>Road Materials</t>
  </si>
  <si>
    <t>Acct 224</t>
  </si>
  <si>
    <t>Capital Equipment</t>
  </si>
  <si>
    <t>Acct 43126</t>
  </si>
  <si>
    <t>Building Maintenance</t>
  </si>
  <si>
    <t>Acct 41940</t>
  </si>
  <si>
    <t>Machinery Rental</t>
  </si>
  <si>
    <t>Acct 416</t>
  </si>
  <si>
    <t>2022</t>
  </si>
  <si>
    <t>Asphalt</t>
  </si>
  <si>
    <t>Palon Rd</t>
  </si>
  <si>
    <t>Harmony Ln</t>
  </si>
  <si>
    <t>Unknown culvert projects</t>
  </si>
  <si>
    <t>Birchview</t>
  </si>
  <si>
    <t>Equipment Replacement Fund</t>
  </si>
  <si>
    <t>TOTAL</t>
  </si>
  <si>
    <t>Capital Project Expenses</t>
  </si>
  <si>
    <t>Engineer / Survey</t>
  </si>
  <si>
    <r>
      <rPr>
        <b/>
        <sz val="11"/>
        <color rgb="FFFF0000"/>
        <rFont val="Calibri"/>
        <family val="2"/>
        <scheme val="minor"/>
      </rPr>
      <t>Capital Improvements</t>
    </r>
    <r>
      <rPr>
        <sz val="11"/>
        <color theme="1"/>
        <rFont val="Calibri"/>
        <family val="2"/>
        <scheme val="minor"/>
      </rPr>
      <t xml:space="preserve"> = Road Materials (224), Engineering (303), Machinery Rental (416), Building Maintenance (41940), Construction (43100), Capital Equipment (43126)</t>
    </r>
  </si>
  <si>
    <t>Palon, Sturg Island, Sturg Island Loop, Parkview, Majestic Pine, Northstar</t>
  </si>
  <si>
    <t>113.5 - Apprenticeship Contriubtion</t>
  </si>
  <si>
    <t>Available Cash on Hand: End of Year</t>
  </si>
  <si>
    <t>Cash in Reserves: End of Year</t>
  </si>
  <si>
    <t>Total Cash: End of Year</t>
  </si>
  <si>
    <t>Transfer to Reserves</t>
  </si>
  <si>
    <t>Transfer from Reserves</t>
  </si>
  <si>
    <t>Capital Improvements</t>
  </si>
  <si>
    <t>Sturgeon Island Rd (Seg 1)</t>
  </si>
  <si>
    <t>Sturgeon Island Rd (Seg 2)</t>
  </si>
  <si>
    <t>Emergency Fund (1/2 of Operating)</t>
  </si>
  <si>
    <t>Building Fund</t>
  </si>
  <si>
    <t>Windemere Township 2022 Budget Estimating Worksheet</t>
  </si>
  <si>
    <t>2026</t>
  </si>
  <si>
    <t>2021 Actual</t>
  </si>
  <si>
    <t>125.5 · Other (Union) Retirement</t>
  </si>
  <si>
    <t>103.6 · Contractors</t>
  </si>
  <si>
    <t>Projected</t>
  </si>
  <si>
    <t>Total Cash on Hand: Start of Year</t>
  </si>
  <si>
    <t>2022 Budget Summary</t>
  </si>
  <si>
    <t>Windemere Township 5-Year Cash Flow Projection</t>
  </si>
  <si>
    <t>5 Yr Average</t>
  </si>
  <si>
    <t>Two employees - cell phone reimbursement</t>
  </si>
  <si>
    <t>R/O/W road platting</t>
  </si>
  <si>
    <t>309 · Website / IT Services</t>
  </si>
  <si>
    <t>$200 general postage. $2,800 for P&amp;Z special mailing.</t>
  </si>
  <si>
    <t>$1,500 general. $1,000 for P&amp;Z postcards.</t>
  </si>
  <si>
    <t>$500 for normal road signs. $1,000 for P&amp;Z signs.</t>
  </si>
  <si>
    <t>Pine County provided estimate, Bridge to Hill St</t>
  </si>
  <si>
    <t>Warbler Ln</t>
  </si>
  <si>
    <t>Commercial area. Road to Doc's and other businesses.</t>
  </si>
  <si>
    <t>(DRAFT)</t>
  </si>
  <si>
    <t>Restricted Revenue</t>
  </si>
  <si>
    <t>Blight cleanup</t>
  </si>
  <si>
    <t>Ordinance update</t>
  </si>
  <si>
    <t>$18k for Dennis. $5k for enforcement.</t>
  </si>
  <si>
    <t>Restricted Revenue Returned</t>
  </si>
  <si>
    <r>
      <t>Notes:
1-"Pro forma" models the anticipated results of the 5-year planned budget, with particular emphasis on the projected cash flows, net revenues and tax levies.
2-Projection shows creating a true reserve fund
3-Models that some heavy equipment purchased for $125,000 in 2026 using Equipment Fund
4-</t>
    </r>
    <r>
      <rPr>
        <b/>
        <sz val="12"/>
        <color rgb="FFFF0000"/>
        <rFont val="Calibri"/>
        <family val="2"/>
        <scheme val="minor"/>
      </rPr>
      <t>Capital Projects</t>
    </r>
    <r>
      <rPr>
        <b/>
        <sz val="12"/>
        <color theme="1"/>
        <rFont val="Calibri"/>
        <family val="2"/>
        <scheme val="minor"/>
      </rPr>
      <t xml:space="preserve"> = Road Materials (224), Engineering (303), Machinery Rental (416), Building Maintenance (41940), Construction (43100), Capital Equipment (43126)</t>
    </r>
  </si>
  <si>
    <t>304.1 · General Township</t>
  </si>
  <si>
    <t>304.2 · Planning and Zoning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</si>
</sst>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0;\-#,##0.00"/>
    <numFmt numFmtId="165" formatCode="0_);\(0\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32323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43" fontId="0" fillId="0" borderId="0" xfId="1" applyFont="1"/>
    <xf numFmtId="0" fontId="2" fillId="0" borderId="0" xfId="0" applyFont="1"/>
    <xf numFmtId="43" fontId="2" fillId="0" borderId="0" xfId="1" applyFont="1"/>
    <xf numFmtId="43" fontId="2" fillId="0" borderId="0" xfId="1" applyFont="1" applyAlignment="1">
      <alignment horizontal="center"/>
    </xf>
    <xf numFmtId="43" fontId="2" fillId="2" borderId="0" xfId="1" applyFont="1" applyFill="1" applyAlignment="1">
      <alignment horizontal="center"/>
    </xf>
    <xf numFmtId="43" fontId="0" fillId="2" borderId="0" xfId="1" applyFont="1" applyFill="1"/>
    <xf numFmtId="43" fontId="6" fillId="2" borderId="0" xfId="1" applyFont="1" applyFill="1"/>
    <xf numFmtId="3" fontId="0" fillId="0" borderId="0" xfId="0" applyNumberFormat="1"/>
    <xf numFmtId="49" fontId="8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10" fillId="3" borderId="0" xfId="0" applyNumberFormat="1" applyFont="1" applyFill="1" applyAlignment="1">
      <alignment horizontal="center"/>
    </xf>
    <xf numFmtId="0" fontId="4" fillId="0" borderId="0" xfId="0" applyFont="1" applyAlignment="1">
      <alignment horizontal="left"/>
    </xf>
    <xf numFmtId="3" fontId="8" fillId="0" borderId="0" xfId="0" applyNumberFormat="1" applyFont="1"/>
    <xf numFmtId="0" fontId="9" fillId="0" borderId="0" xfId="0" applyFont="1"/>
    <xf numFmtId="0" fontId="8" fillId="0" borderId="0" xfId="0" applyFont="1"/>
    <xf numFmtId="3" fontId="11" fillId="0" borderId="0" xfId="0" applyNumberFormat="1" applyFont="1"/>
    <xf numFmtId="49" fontId="9" fillId="0" borderId="0" xfId="0" applyNumberFormat="1" applyFont="1" applyAlignment="1">
      <alignment horizontal="left"/>
    </xf>
    <xf numFmtId="43" fontId="13" fillId="0" borderId="0" xfId="1" applyFont="1"/>
    <xf numFmtId="43" fontId="2" fillId="2" borderId="0" xfId="1" quotePrefix="1" applyFont="1" applyFill="1" applyAlignment="1">
      <alignment horizontal="center"/>
    </xf>
    <xf numFmtId="43" fontId="2" fillId="0" borderId="0" xfId="1" quotePrefix="1" applyFont="1" applyAlignment="1">
      <alignment horizontal="center"/>
    </xf>
    <xf numFmtId="0" fontId="6" fillId="0" borderId="0" xfId="0" applyFont="1"/>
    <xf numFmtId="43" fontId="7" fillId="0" borderId="0" xfId="1" applyFont="1"/>
    <xf numFmtId="10" fontId="0" fillId="0" borderId="0" xfId="3" applyNumberFormat="1" applyFont="1"/>
    <xf numFmtId="10" fontId="14" fillId="0" borderId="0" xfId="3" applyNumberFormat="1" applyFont="1"/>
    <xf numFmtId="0" fontId="7" fillId="0" borderId="0" xfId="0" applyFont="1" applyAlignment="1"/>
    <xf numFmtId="0" fontId="2" fillId="0" borderId="0" xfId="0" applyFont="1" applyFill="1" applyAlignment="1">
      <alignment horizontal="right"/>
    </xf>
    <xf numFmtId="0" fontId="0" fillId="0" borderId="0" xfId="0" applyFill="1"/>
    <xf numFmtId="43" fontId="0" fillId="0" borderId="0" xfId="1" applyFont="1" applyFill="1"/>
    <xf numFmtId="43" fontId="0" fillId="0" borderId="0" xfId="0" applyNumberFormat="1" applyFill="1"/>
    <xf numFmtId="0" fontId="2" fillId="0" borderId="0" xfId="0" applyFont="1" applyFill="1" applyAlignment="1">
      <alignment horizontal="left"/>
    </xf>
    <xf numFmtId="43" fontId="2" fillId="0" borderId="0" xfId="0" applyNumberFormat="1" applyFont="1" applyFill="1" applyAlignment="1">
      <alignment textRotation="90"/>
    </xf>
    <xf numFmtId="0" fontId="2" fillId="0" borderId="0" xfId="0" quotePrefix="1" applyFont="1"/>
    <xf numFmtId="43" fontId="2" fillId="0" borderId="0" xfId="1" applyFont="1" applyFill="1" applyAlignment="1"/>
    <xf numFmtId="43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3" fontId="2" fillId="0" borderId="0" xfId="1" applyFont="1" applyFill="1"/>
    <xf numFmtId="43" fontId="2" fillId="0" borderId="0" xfId="1" quotePrefix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164" fontId="15" fillId="0" borderId="0" xfId="0" applyNumberFormat="1" applyFont="1"/>
    <xf numFmtId="3" fontId="8" fillId="0" borderId="0" xfId="0" applyNumberFormat="1" applyFont="1" applyAlignment="1">
      <alignment horizontal="right" vertical="center"/>
    </xf>
    <xf numFmtId="165" fontId="2" fillId="0" borderId="0" xfId="1" applyNumberFormat="1" applyFont="1" applyAlignment="1">
      <alignment horizontal="center"/>
    </xf>
    <xf numFmtId="43" fontId="2" fillId="2" borderId="0" xfId="1" applyFont="1" applyFill="1"/>
    <xf numFmtId="0" fontId="4" fillId="0" borderId="0" xfId="0" applyFont="1" applyAlignment="1">
      <alignment horizontal="left" indent="2"/>
    </xf>
    <xf numFmtId="3" fontId="8" fillId="4" borderId="0" xfId="0" applyNumberFormat="1" applyFont="1" applyFill="1"/>
    <xf numFmtId="166" fontId="0" fillId="0" borderId="0" xfId="3" applyNumberFormat="1" applyFont="1" applyFill="1"/>
    <xf numFmtId="43" fontId="1" fillId="0" borderId="0" xfId="1" applyFont="1"/>
    <xf numFmtId="43" fontId="1" fillId="2" borderId="0" xfId="1" applyFont="1" applyFill="1"/>
    <xf numFmtId="3" fontId="8" fillId="0" borderId="0" xfId="0" applyNumberFormat="1" applyFont="1" applyAlignment="1">
      <alignment horizontal="right" vertical="center"/>
    </xf>
    <xf numFmtId="3" fontId="8" fillId="5" borderId="0" xfId="0" applyNumberFormat="1" applyFont="1" applyFill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8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left" wrapText="1"/>
    </xf>
  </cellXfs>
  <cellStyles count="4">
    <cellStyle name="Comma" xfId="1" builtinId="3"/>
    <cellStyle name="Normal" xfId="0" builtinId="0"/>
    <cellStyle name="Normal 2" xfId="2" xr:uid="{00000000-0005-0000-0000-000003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20159</xdr:colOff>
      <xdr:row>36</xdr:row>
      <xdr:rowOff>143852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11CEFE-AAC9-4128-848F-6FFDCF548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944959" cy="70018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"/>
  <sheetViews>
    <sheetView showGridLines="0" tabSelected="1" zoomScale="120" zoomScaleNormal="120" workbookViewId="0">
      <selection sqref="A1:N1"/>
    </sheetView>
  </sheetViews>
  <sheetFormatPr defaultRowHeight="14.25" x14ac:dyDescent="0.45"/>
  <cols>
    <col min="1" max="5" width="2.73046875" customWidth="1"/>
    <col min="6" max="6" width="27.59765625" customWidth="1"/>
    <col min="7" max="7" width="13.86328125" bestFit="1" customWidth="1"/>
    <col min="8" max="12" width="2.73046875" customWidth="1"/>
    <col min="13" max="13" width="27.265625" customWidth="1"/>
    <col min="14" max="14" width="14.1328125" bestFit="1" customWidth="1"/>
  </cols>
  <sheetData>
    <row r="1" spans="1:15" ht="21" x14ac:dyDescent="0.65">
      <c r="A1" s="50" t="s">
        <v>230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5" x14ac:dyDescent="0.45">
      <c r="G2" s="1"/>
    </row>
    <row r="3" spans="1:15" x14ac:dyDescent="0.45">
      <c r="G3" s="20" t="s">
        <v>200</v>
      </c>
      <c r="N3" s="20" t="s">
        <v>200</v>
      </c>
    </row>
    <row r="4" spans="1:15" x14ac:dyDescent="0.45">
      <c r="B4" s="2" t="s">
        <v>163</v>
      </c>
      <c r="G4" s="4" t="s">
        <v>176</v>
      </c>
      <c r="I4" s="2" t="s">
        <v>29</v>
      </c>
      <c r="N4" s="4" t="s">
        <v>176</v>
      </c>
    </row>
    <row r="5" spans="1:15" x14ac:dyDescent="0.45">
      <c r="C5" t="s">
        <v>0</v>
      </c>
      <c r="G5" s="1">
        <f>+BUDGET!H11</f>
        <v>407500</v>
      </c>
      <c r="J5" t="s">
        <v>30</v>
      </c>
      <c r="N5" s="1"/>
    </row>
    <row r="6" spans="1:15" x14ac:dyDescent="0.45">
      <c r="C6" t="s">
        <v>4</v>
      </c>
      <c r="G6" s="1">
        <f>+BUDGET!H14</f>
        <v>7000</v>
      </c>
      <c r="K6" t="s">
        <v>166</v>
      </c>
      <c r="N6" s="1">
        <f>BUDGET!H49</f>
        <v>13218</v>
      </c>
      <c r="O6" s="23">
        <f t="shared" ref="O6:O11" si="0">N6/$N$15</f>
        <v>1.7445808511859864E-2</v>
      </c>
    </row>
    <row r="7" spans="1:15" x14ac:dyDescent="0.45">
      <c r="C7" t="s">
        <v>7</v>
      </c>
      <c r="G7" s="1">
        <f>+BUDGET!H17</f>
        <v>0</v>
      </c>
      <c r="K7" t="s">
        <v>165</v>
      </c>
      <c r="N7" s="1">
        <f>BUDGET!H86</f>
        <v>61392.5</v>
      </c>
      <c r="O7" s="23">
        <f t="shared" si="0"/>
        <v>8.1029036092022749E-2</v>
      </c>
    </row>
    <row r="8" spans="1:15" x14ac:dyDescent="0.45">
      <c r="C8" t="s">
        <v>10</v>
      </c>
      <c r="G8" s="1">
        <f>+BUDGET!H24</f>
        <v>141800</v>
      </c>
      <c r="K8" t="s">
        <v>167</v>
      </c>
      <c r="N8" s="1">
        <f>BUDGET!H97</f>
        <v>24885.5</v>
      </c>
      <c r="O8" s="23">
        <f t="shared" si="0"/>
        <v>3.2845185937501034E-2</v>
      </c>
    </row>
    <row r="9" spans="1:15" x14ac:dyDescent="0.45">
      <c r="C9" t="s">
        <v>17</v>
      </c>
      <c r="G9" s="1">
        <f>+BUDGET!H32</f>
        <v>10000</v>
      </c>
      <c r="K9" t="s">
        <v>80</v>
      </c>
      <c r="N9" s="1">
        <f>SUM(BUDGET!H99:H100)</f>
        <v>14000</v>
      </c>
      <c r="O9" s="23">
        <f t="shared" si="0"/>
        <v>1.8477933058408086E-2</v>
      </c>
    </row>
    <row r="10" spans="1:15" ht="16.5" x14ac:dyDescent="0.75">
      <c r="C10" t="s">
        <v>24</v>
      </c>
      <c r="G10" s="1">
        <f>+BUDGET!H37</f>
        <v>4500</v>
      </c>
      <c r="K10" t="s">
        <v>168</v>
      </c>
      <c r="N10" s="18">
        <f>BUDGET!H111</f>
        <v>38884.5</v>
      </c>
      <c r="O10" s="24">
        <f t="shared" si="0"/>
        <v>5.13217991435478E-2</v>
      </c>
    </row>
    <row r="11" spans="1:15" x14ac:dyDescent="0.45">
      <c r="B11" s="2" t="s">
        <v>164</v>
      </c>
      <c r="G11" s="3">
        <f>SUM(G5:G10)</f>
        <v>570800</v>
      </c>
      <c r="J11" t="s">
        <v>90</v>
      </c>
      <c r="N11" s="1">
        <f>SUM(N6:N10)</f>
        <v>152380.5</v>
      </c>
      <c r="O11" s="23">
        <f t="shared" si="0"/>
        <v>0.20111976274333954</v>
      </c>
    </row>
    <row r="12" spans="1:15" x14ac:dyDescent="0.45">
      <c r="B12" s="2"/>
      <c r="G12" s="3"/>
      <c r="N12" s="1"/>
      <c r="O12" s="23"/>
    </row>
    <row r="13" spans="1:15" x14ac:dyDescent="0.45">
      <c r="J13" t="s">
        <v>169</v>
      </c>
      <c r="N13" s="1">
        <f>BUDGET!H121</f>
        <v>90150</v>
      </c>
      <c r="O13" s="23">
        <f>N13/$N$15</f>
        <v>0.11898469037253492</v>
      </c>
    </row>
    <row r="14" spans="1:15" ht="16.5" x14ac:dyDescent="0.75">
      <c r="J14" t="s">
        <v>170</v>
      </c>
      <c r="N14" s="18">
        <f>BUDGET!H153</f>
        <v>515130</v>
      </c>
      <c r="O14" s="23">
        <f>N14/$N$15</f>
        <v>0.67989554688412557</v>
      </c>
    </row>
    <row r="15" spans="1:15" x14ac:dyDescent="0.45">
      <c r="I15" s="2" t="s">
        <v>127</v>
      </c>
      <c r="N15" s="3">
        <f>N11+N13+N14</f>
        <v>757660.5</v>
      </c>
      <c r="O15" s="23">
        <f>N15/$N$15</f>
        <v>1</v>
      </c>
    </row>
    <row r="16" spans="1:15" x14ac:dyDescent="0.45">
      <c r="I16" s="2"/>
      <c r="N16" s="1"/>
    </row>
    <row r="17" spans="9:14" x14ac:dyDescent="0.45">
      <c r="I17" s="2" t="s">
        <v>162</v>
      </c>
      <c r="N17" s="3">
        <f>G11-N15</f>
        <v>-186860.5</v>
      </c>
    </row>
  </sheetData>
  <mergeCells count="1">
    <mergeCell ref="A1:N1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73"/>
  <sheetViews>
    <sheetView zoomScale="110" zoomScaleNormal="110" workbookViewId="0">
      <pane ySplit="5" topLeftCell="A6" activePane="bottomLeft" state="frozen"/>
      <selection pane="bottomLeft" activeCell="A6" sqref="A6"/>
    </sheetView>
  </sheetViews>
  <sheetFormatPr defaultRowHeight="14.25" x14ac:dyDescent="0.45"/>
  <cols>
    <col min="1" max="6" width="2.73046875" customWidth="1"/>
    <col min="7" max="7" width="39.73046875" customWidth="1"/>
    <col min="8" max="8" width="13.1328125" bestFit="1" customWidth="1"/>
    <col min="9" max="9" width="13.265625" style="1" customWidth="1"/>
    <col min="10" max="11" width="13.265625" customWidth="1"/>
    <col min="12" max="12" width="13.73046875" customWidth="1"/>
    <col min="13" max="13" width="12.86328125" style="1" bestFit="1" customWidth="1"/>
    <col min="14" max="14" width="12.265625" style="1" bestFit="1" customWidth="1"/>
    <col min="15" max="15" width="13.3984375" style="1" bestFit="1" customWidth="1"/>
    <col min="16" max="16" width="68.73046875" style="1" bestFit="1" customWidth="1"/>
  </cols>
  <sheetData>
    <row r="1" spans="1:16" ht="21" x14ac:dyDescent="0.65">
      <c r="A1" s="50" t="s">
        <v>223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6" x14ac:dyDescent="0.45">
      <c r="L2" s="28"/>
    </row>
    <row r="3" spans="1:16" x14ac:dyDescent="0.45">
      <c r="H3" s="19" t="s">
        <v>200</v>
      </c>
      <c r="I3" s="37" t="s">
        <v>185</v>
      </c>
      <c r="J3" s="37" t="s">
        <v>185</v>
      </c>
      <c r="K3" s="37" t="s">
        <v>177</v>
      </c>
      <c r="L3" s="4" t="s">
        <v>156</v>
      </c>
      <c r="M3" s="41">
        <v>2018</v>
      </c>
      <c r="N3" s="41">
        <v>2017</v>
      </c>
      <c r="O3" s="4"/>
    </row>
    <row r="4" spans="1:16" x14ac:dyDescent="0.45">
      <c r="H4" s="5" t="s">
        <v>176</v>
      </c>
      <c r="I4" s="4" t="s">
        <v>228</v>
      </c>
      <c r="J4" s="38" t="s">
        <v>176</v>
      </c>
      <c r="K4" s="4" t="s">
        <v>155</v>
      </c>
      <c r="L4" s="4" t="s">
        <v>155</v>
      </c>
      <c r="M4" s="4" t="s">
        <v>155</v>
      </c>
      <c r="N4" s="4" t="s">
        <v>155</v>
      </c>
      <c r="O4" s="4" t="s">
        <v>232</v>
      </c>
      <c r="P4" s="3" t="s">
        <v>146</v>
      </c>
    </row>
    <row r="5" spans="1:16" x14ac:dyDescent="0.45">
      <c r="H5" s="5" t="s">
        <v>242</v>
      </c>
      <c r="I5" s="4"/>
      <c r="J5" s="4"/>
      <c r="K5" s="4"/>
      <c r="L5" s="4"/>
      <c r="M5" s="4"/>
      <c r="N5" s="4"/>
      <c r="O5" s="4"/>
      <c r="P5" s="3"/>
    </row>
    <row r="6" spans="1:16" x14ac:dyDescent="0.45">
      <c r="B6" s="2" t="s">
        <v>171</v>
      </c>
      <c r="H6" s="6"/>
      <c r="J6" s="1"/>
      <c r="K6" s="1"/>
      <c r="L6" s="1"/>
    </row>
    <row r="7" spans="1:16" x14ac:dyDescent="0.45">
      <c r="C7" t="s">
        <v>163</v>
      </c>
      <c r="H7" s="6"/>
      <c r="J7" s="1"/>
      <c r="K7" s="1"/>
      <c r="L7" s="1"/>
    </row>
    <row r="8" spans="1:16" ht="15.4" x14ac:dyDescent="0.45">
      <c r="D8" t="s">
        <v>0</v>
      </c>
      <c r="H8" s="6"/>
      <c r="J8" s="1"/>
      <c r="K8" s="1"/>
      <c r="L8" s="1"/>
      <c r="M8" s="39"/>
      <c r="N8" s="39"/>
    </row>
    <row r="9" spans="1:16" x14ac:dyDescent="0.45">
      <c r="E9" t="s">
        <v>1</v>
      </c>
      <c r="H9" s="6">
        <v>390000</v>
      </c>
      <c r="I9" s="1">
        <v>390566.51</v>
      </c>
      <c r="J9" s="1">
        <v>385000</v>
      </c>
      <c r="K9" s="1">
        <v>389271.43</v>
      </c>
      <c r="L9" s="1">
        <v>387851.79</v>
      </c>
      <c r="M9" s="1">
        <v>762360.43</v>
      </c>
      <c r="N9" s="1">
        <v>762519.89</v>
      </c>
      <c r="O9" s="1">
        <f>(+N9+M9+L9+K9+I9)/5</f>
        <v>538514.01</v>
      </c>
    </row>
    <row r="10" spans="1:16" x14ac:dyDescent="0.45">
      <c r="E10" t="s">
        <v>2</v>
      </c>
      <c r="H10" s="6">
        <v>17500</v>
      </c>
      <c r="I10" s="1">
        <v>17427.45</v>
      </c>
      <c r="J10" s="1">
        <v>20000</v>
      </c>
      <c r="K10" s="1">
        <v>57479.46</v>
      </c>
      <c r="L10" s="1">
        <v>22158.31</v>
      </c>
      <c r="M10" s="1">
        <v>15044.97</v>
      </c>
      <c r="N10" s="1">
        <v>9620.08</v>
      </c>
      <c r="O10" s="1">
        <f>(+N10+M10+L10+K10+I10)/5</f>
        <v>24346.054</v>
      </c>
    </row>
    <row r="11" spans="1:16" x14ac:dyDescent="0.45">
      <c r="D11" t="s">
        <v>3</v>
      </c>
      <c r="H11" s="6">
        <f>SUM(H9:H10)</f>
        <v>407500</v>
      </c>
      <c r="I11" s="1">
        <v>407993.96</v>
      </c>
      <c r="J11" s="1">
        <v>405000</v>
      </c>
      <c r="K11" s="1">
        <f>SUM(K9:K10)</f>
        <v>446750.89</v>
      </c>
      <c r="L11" s="1">
        <f t="shared" ref="L11" si="0">SUM(L9:L10)</f>
        <v>410010.1</v>
      </c>
      <c r="M11" s="1">
        <f t="shared" ref="M11" si="1">SUM(M9:M10)</f>
        <v>777405.4</v>
      </c>
      <c r="N11" s="1">
        <f t="shared" ref="N11" si="2">SUM(N9:N10)</f>
        <v>772139.97</v>
      </c>
      <c r="O11" s="1">
        <f>(+N11+M11+L11+K11+I11)/5</f>
        <v>562860.06400000001</v>
      </c>
    </row>
    <row r="12" spans="1:16" x14ac:dyDescent="0.45">
      <c r="D12" t="s">
        <v>4</v>
      </c>
      <c r="H12" s="6"/>
      <c r="J12" s="1"/>
      <c r="K12" s="1"/>
      <c r="L12" s="1"/>
    </row>
    <row r="13" spans="1:16" x14ac:dyDescent="0.45">
      <c r="E13" t="s">
        <v>5</v>
      </c>
      <c r="H13" s="6">
        <v>7000</v>
      </c>
      <c r="I13" s="1">
        <v>20165.03</v>
      </c>
      <c r="J13" s="1">
        <v>7000</v>
      </c>
      <c r="K13" s="1">
        <v>5267.57</v>
      </c>
      <c r="L13" s="1">
        <v>2116.64</v>
      </c>
      <c r="M13" s="1">
        <v>1844.74</v>
      </c>
      <c r="N13" s="1">
        <v>1879.27</v>
      </c>
      <c r="O13" s="1">
        <f>(+N13+M13+L13+K13+I13)/5</f>
        <v>6254.65</v>
      </c>
    </row>
    <row r="14" spans="1:16" x14ac:dyDescent="0.45">
      <c r="D14" t="s">
        <v>6</v>
      </c>
      <c r="H14" s="6">
        <f>H13</f>
        <v>7000</v>
      </c>
      <c r="I14" s="1">
        <v>20165.03</v>
      </c>
      <c r="J14" s="1">
        <v>7000</v>
      </c>
      <c r="K14" s="1">
        <f t="shared" ref="K14:N14" si="3">K13</f>
        <v>5267.57</v>
      </c>
      <c r="L14" s="1">
        <f t="shared" si="3"/>
        <v>2116.64</v>
      </c>
      <c r="M14" s="1">
        <f t="shared" si="3"/>
        <v>1844.74</v>
      </c>
      <c r="N14" s="1">
        <f t="shared" si="3"/>
        <v>1879.27</v>
      </c>
      <c r="O14" s="1">
        <f>(+N14+M14+L14+K14+I14)/5</f>
        <v>6254.65</v>
      </c>
    </row>
    <row r="15" spans="1:16" x14ac:dyDescent="0.45">
      <c r="D15" t="s">
        <v>7</v>
      </c>
      <c r="H15" s="6"/>
      <c r="J15" s="1"/>
      <c r="K15" s="1"/>
      <c r="L15" s="1"/>
    </row>
    <row r="16" spans="1:16" x14ac:dyDescent="0.45">
      <c r="E16" t="s">
        <v>8</v>
      </c>
      <c r="H16" s="6">
        <v>0</v>
      </c>
      <c r="J16" s="1">
        <v>0</v>
      </c>
      <c r="K16" s="1"/>
      <c r="L16" s="1"/>
      <c r="M16" s="1">
        <v>100</v>
      </c>
      <c r="N16" s="1">
        <v>0</v>
      </c>
      <c r="O16" s="1">
        <f>(+N16+M16+L16+K16+I16)/5</f>
        <v>20</v>
      </c>
    </row>
    <row r="17" spans="4:15" x14ac:dyDescent="0.45">
      <c r="D17" t="s">
        <v>9</v>
      </c>
      <c r="H17" s="6">
        <f>H16</f>
        <v>0</v>
      </c>
      <c r="J17" s="1">
        <v>0</v>
      </c>
      <c r="K17" s="1"/>
      <c r="L17" s="1"/>
      <c r="M17" s="1">
        <f>M16</f>
        <v>100</v>
      </c>
      <c r="N17" s="1">
        <f>N16</f>
        <v>0</v>
      </c>
      <c r="O17" s="1">
        <f>(+N17+M17+L17+K17+I17)/5</f>
        <v>20</v>
      </c>
    </row>
    <row r="18" spans="4:15" x14ac:dyDescent="0.45">
      <c r="D18" t="s">
        <v>10</v>
      </c>
      <c r="H18" s="6"/>
      <c r="J18" s="1"/>
      <c r="K18" s="1"/>
      <c r="L18" s="1"/>
    </row>
    <row r="19" spans="4:15" x14ac:dyDescent="0.45">
      <c r="E19" t="s">
        <v>11</v>
      </c>
      <c r="H19" s="6"/>
      <c r="J19" s="1"/>
      <c r="K19" s="1"/>
      <c r="L19" s="1"/>
    </row>
    <row r="20" spans="4:15" x14ac:dyDescent="0.45">
      <c r="F20" t="s">
        <v>12</v>
      </c>
      <c r="H20" s="6">
        <v>100000</v>
      </c>
      <c r="I20" s="1">
        <v>103427.61</v>
      </c>
      <c r="J20" s="1">
        <v>6000</v>
      </c>
      <c r="K20" s="1">
        <v>21831.9</v>
      </c>
      <c r="L20" s="1">
        <v>6419.37</v>
      </c>
      <c r="M20" s="1">
        <v>7458.44</v>
      </c>
      <c r="N20" s="1">
        <v>8378.11</v>
      </c>
      <c r="O20" s="1">
        <f t="shared" ref="O20:O24" si="4">(+N20+M20+L20+K20+I20)/5</f>
        <v>29503.085999999999</v>
      </c>
    </row>
    <row r="21" spans="4:15" x14ac:dyDescent="0.45">
      <c r="F21" t="s">
        <v>13</v>
      </c>
      <c r="H21" s="6">
        <v>40000</v>
      </c>
      <c r="I21" s="1">
        <v>38288.160000000003</v>
      </c>
      <c r="J21" s="1">
        <v>40000</v>
      </c>
      <c r="K21" s="1">
        <v>41385.919999999998</v>
      </c>
      <c r="L21" s="1">
        <v>39675.03</v>
      </c>
      <c r="M21" s="1">
        <v>40011.279999999999</v>
      </c>
      <c r="N21" s="1">
        <v>34251.01</v>
      </c>
      <c r="O21" s="1">
        <f t="shared" si="4"/>
        <v>38722.28</v>
      </c>
    </row>
    <row r="22" spans="4:15" x14ac:dyDescent="0.45">
      <c r="F22" t="s">
        <v>14</v>
      </c>
      <c r="H22" s="6">
        <v>1800</v>
      </c>
      <c r="I22" s="1">
        <v>1834.15</v>
      </c>
      <c r="J22" s="1">
        <v>1800</v>
      </c>
      <c r="K22" s="1">
        <v>1813.73</v>
      </c>
      <c r="L22" s="1">
        <v>1835.67</v>
      </c>
      <c r="M22" s="1">
        <v>1834.12</v>
      </c>
      <c r="N22" s="1">
        <v>468.24</v>
      </c>
      <c r="O22" s="1">
        <f t="shared" si="4"/>
        <v>1557.182</v>
      </c>
    </row>
    <row r="23" spans="4:15" x14ac:dyDescent="0.45">
      <c r="E23" t="s">
        <v>15</v>
      </c>
      <c r="H23" s="6">
        <f>SUM(H20:H22)</f>
        <v>141800</v>
      </c>
      <c r="I23" s="1">
        <v>143549.92000000001</v>
      </c>
      <c r="J23" s="1">
        <v>47800</v>
      </c>
      <c r="K23" s="1">
        <f t="shared" ref="K23:L23" si="5">SUM(K20:K22)</f>
        <v>65031.55</v>
      </c>
      <c r="L23" s="1">
        <f t="shared" si="5"/>
        <v>47930.07</v>
      </c>
      <c r="M23" s="1">
        <f t="shared" ref="M23" si="6">SUM(M20:M22)</f>
        <v>49303.840000000004</v>
      </c>
      <c r="N23" s="1">
        <f t="shared" ref="N23" si="7">SUM(N20:N22)</f>
        <v>43097.36</v>
      </c>
      <c r="O23" s="1">
        <f t="shared" si="4"/>
        <v>69782.547999999995</v>
      </c>
    </row>
    <row r="24" spans="4:15" x14ac:dyDescent="0.45">
      <c r="D24" t="s">
        <v>16</v>
      </c>
      <c r="H24" s="6">
        <f>H23</f>
        <v>141800</v>
      </c>
      <c r="I24" s="1">
        <v>143549.92000000001</v>
      </c>
      <c r="J24" s="1">
        <v>47800</v>
      </c>
      <c r="K24" s="1">
        <f t="shared" ref="K24:L24" si="8">K23</f>
        <v>65031.55</v>
      </c>
      <c r="L24" s="1">
        <f t="shared" si="8"/>
        <v>47930.07</v>
      </c>
      <c r="M24" s="1">
        <f t="shared" ref="M24" si="9">M23</f>
        <v>49303.840000000004</v>
      </c>
      <c r="N24" s="1">
        <f t="shared" ref="N24" si="10">N23</f>
        <v>43097.36</v>
      </c>
      <c r="O24" s="1">
        <f t="shared" si="4"/>
        <v>69782.547999999995</v>
      </c>
    </row>
    <row r="25" spans="4:15" x14ac:dyDescent="0.45">
      <c r="D25" t="s">
        <v>17</v>
      </c>
      <c r="H25" s="6"/>
      <c r="J25" s="1"/>
      <c r="K25" s="1"/>
      <c r="L25" s="1"/>
    </row>
    <row r="26" spans="4:15" x14ac:dyDescent="0.45">
      <c r="E26" t="s">
        <v>18</v>
      </c>
      <c r="H26" s="6"/>
      <c r="J26" s="1"/>
      <c r="K26" s="1"/>
      <c r="L26" s="1"/>
    </row>
    <row r="27" spans="4:15" x14ac:dyDescent="0.45">
      <c r="F27" t="s">
        <v>19</v>
      </c>
      <c r="H27" s="6">
        <v>0</v>
      </c>
      <c r="I27" s="1">
        <v>0</v>
      </c>
      <c r="J27" s="1">
        <v>0</v>
      </c>
      <c r="K27" s="1">
        <v>8</v>
      </c>
      <c r="L27" s="1">
        <v>4</v>
      </c>
      <c r="M27" s="1">
        <v>6</v>
      </c>
      <c r="N27" s="1">
        <v>8</v>
      </c>
      <c r="O27" s="1">
        <f t="shared" ref="O27:O32" si="11">(+N27+M27+L27+K27+I27)/5</f>
        <v>5.2</v>
      </c>
    </row>
    <row r="28" spans="4:15" x14ac:dyDescent="0.45">
      <c r="F28" t="s">
        <v>20</v>
      </c>
      <c r="H28" s="6">
        <v>10000</v>
      </c>
      <c r="I28" s="1">
        <v>23256.799999999999</v>
      </c>
      <c r="J28" s="1">
        <v>6000</v>
      </c>
      <c r="K28" s="1">
        <v>7799</v>
      </c>
      <c r="L28" s="1">
        <v>7860.9</v>
      </c>
      <c r="M28" s="1">
        <v>5815.2</v>
      </c>
      <c r="N28" s="1">
        <v>7669.4</v>
      </c>
      <c r="O28" s="1">
        <f t="shared" si="11"/>
        <v>10480.26</v>
      </c>
    </row>
    <row r="29" spans="4:15" x14ac:dyDescent="0.45">
      <c r="F29" t="s">
        <v>128</v>
      </c>
      <c r="H29" s="6"/>
      <c r="J29" s="1"/>
      <c r="K29" s="1"/>
      <c r="L29" s="1"/>
      <c r="M29" s="1">
        <v>0</v>
      </c>
      <c r="N29" s="1">
        <v>4650</v>
      </c>
      <c r="O29" s="1">
        <f t="shared" si="11"/>
        <v>930</v>
      </c>
    </row>
    <row r="30" spans="4:15" x14ac:dyDescent="0.45">
      <c r="F30" t="s">
        <v>21</v>
      </c>
      <c r="H30" s="6">
        <v>0</v>
      </c>
      <c r="I30" s="1">
        <v>0</v>
      </c>
      <c r="J30" s="1">
        <v>0</v>
      </c>
      <c r="K30" s="1">
        <v>0</v>
      </c>
      <c r="L30" s="1">
        <v>1500</v>
      </c>
      <c r="M30" s="1">
        <v>2275</v>
      </c>
      <c r="N30" s="1">
        <v>825</v>
      </c>
      <c r="O30" s="1">
        <f t="shared" si="11"/>
        <v>920</v>
      </c>
    </row>
    <row r="31" spans="4:15" x14ac:dyDescent="0.45">
      <c r="E31" t="s">
        <v>22</v>
      </c>
      <c r="H31" s="6">
        <f>SUM(H27:H30)</f>
        <v>10000</v>
      </c>
      <c r="I31" s="1">
        <v>23256.799999999999</v>
      </c>
      <c r="J31" s="1">
        <v>6000</v>
      </c>
      <c r="K31" s="1">
        <f t="shared" ref="K31:L31" si="12">SUM(K27:K30)</f>
        <v>7807</v>
      </c>
      <c r="L31" s="1">
        <f t="shared" si="12"/>
        <v>9364.9</v>
      </c>
      <c r="M31" s="1">
        <f>ROUND(SUM(M26:M30),5)</f>
        <v>8096.2</v>
      </c>
      <c r="N31" s="1">
        <f>ROUND(SUM(N26:N30),5)</f>
        <v>13152.4</v>
      </c>
      <c r="O31" s="1">
        <f t="shared" si="11"/>
        <v>12335.460000000001</v>
      </c>
    </row>
    <row r="32" spans="4:15" x14ac:dyDescent="0.45">
      <c r="D32" t="s">
        <v>23</v>
      </c>
      <c r="H32" s="6">
        <f>H31</f>
        <v>10000</v>
      </c>
      <c r="I32" s="1">
        <v>23256.799999999999</v>
      </c>
      <c r="J32" s="1">
        <v>6000</v>
      </c>
      <c r="K32" s="1">
        <f t="shared" ref="K32:L32" si="13">K31</f>
        <v>7807</v>
      </c>
      <c r="L32" s="1">
        <f t="shared" si="13"/>
        <v>9364.9</v>
      </c>
      <c r="M32" s="1">
        <f t="shared" ref="M32" si="14">M31</f>
        <v>8096.2</v>
      </c>
      <c r="N32" s="1">
        <f t="shared" ref="N32" si="15">N31</f>
        <v>13152.4</v>
      </c>
      <c r="O32" s="1">
        <f t="shared" si="11"/>
        <v>12335.460000000001</v>
      </c>
    </row>
    <row r="33" spans="3:15" x14ac:dyDescent="0.45">
      <c r="D33" t="s">
        <v>24</v>
      </c>
      <c r="H33" s="6"/>
      <c r="J33" s="1"/>
      <c r="K33" s="1"/>
      <c r="L33" s="1"/>
    </row>
    <row r="34" spans="3:15" x14ac:dyDescent="0.45">
      <c r="E34" t="s">
        <v>25</v>
      </c>
      <c r="H34" s="6">
        <v>3000</v>
      </c>
      <c r="I34" s="1">
        <v>5364.85</v>
      </c>
      <c r="J34" s="1">
        <v>6000</v>
      </c>
      <c r="K34" s="1">
        <v>19403.7</v>
      </c>
      <c r="L34" s="1">
        <v>41087.79</v>
      </c>
      <c r="M34" s="1">
        <v>43930.02</v>
      </c>
      <c r="N34" s="1">
        <v>10372.950000000001</v>
      </c>
      <c r="O34" s="1">
        <f t="shared" ref="O34:O38" si="16">(+N34+M34+L34+K34+I34)/5</f>
        <v>24031.862000000001</v>
      </c>
    </row>
    <row r="35" spans="3:15" x14ac:dyDescent="0.45">
      <c r="E35" t="s">
        <v>26</v>
      </c>
      <c r="H35" s="6">
        <v>1000</v>
      </c>
      <c r="J35" s="1">
        <v>1000</v>
      </c>
      <c r="K35" s="1">
        <v>0</v>
      </c>
      <c r="L35" s="1">
        <v>1000</v>
      </c>
      <c r="M35" s="1">
        <v>1000</v>
      </c>
      <c r="N35" s="1">
        <v>0</v>
      </c>
      <c r="O35" s="1">
        <f t="shared" si="16"/>
        <v>400</v>
      </c>
    </row>
    <row r="36" spans="3:15" x14ac:dyDescent="0.45">
      <c r="E36" t="s">
        <v>27</v>
      </c>
      <c r="H36" s="6">
        <v>500</v>
      </c>
      <c r="I36" s="1">
        <v>826.3</v>
      </c>
      <c r="J36" s="1">
        <v>500</v>
      </c>
      <c r="K36" s="1">
        <v>484.87</v>
      </c>
      <c r="L36" s="1">
        <v>3871.28</v>
      </c>
      <c r="M36" s="1">
        <v>6671.31</v>
      </c>
      <c r="N36" s="1">
        <v>8397.2000000000007</v>
      </c>
      <c r="O36" s="1">
        <f t="shared" si="16"/>
        <v>4050.192</v>
      </c>
    </row>
    <row r="37" spans="3:15" x14ac:dyDescent="0.45">
      <c r="D37" t="s">
        <v>28</v>
      </c>
      <c r="H37" s="6">
        <f>SUM(H34:H36)</f>
        <v>4500</v>
      </c>
      <c r="I37" s="1">
        <v>6191.15</v>
      </c>
      <c r="J37" s="1">
        <v>7500</v>
      </c>
      <c r="K37" s="1">
        <f t="shared" ref="K37:N37" si="17">SUM(K34:K36)</f>
        <v>19888.57</v>
      </c>
      <c r="L37" s="1">
        <f t="shared" si="17"/>
        <v>45959.07</v>
      </c>
      <c r="M37" s="1">
        <f t="shared" si="17"/>
        <v>51601.329999999994</v>
      </c>
      <c r="N37" s="1">
        <f t="shared" si="17"/>
        <v>18770.150000000001</v>
      </c>
      <c r="O37" s="1">
        <f t="shared" si="16"/>
        <v>28482.053999999996</v>
      </c>
    </row>
    <row r="38" spans="3:15" x14ac:dyDescent="0.45">
      <c r="C38" s="2" t="s">
        <v>164</v>
      </c>
      <c r="H38" s="7">
        <f>ROUND(H11+H14+H17+H24+H32+H37,5)</f>
        <v>570800</v>
      </c>
      <c r="I38" s="3">
        <v>601156.86</v>
      </c>
      <c r="J38" s="1">
        <v>473300</v>
      </c>
      <c r="K38" s="1">
        <f t="shared" ref="K38" si="18">ROUND(K7+K11+K14+K17+K24+K32+K37,5)</f>
        <v>544745.57999999996</v>
      </c>
      <c r="L38" s="1">
        <f t="shared" ref="L38" si="19">ROUND(L7+L11+L14+L17+L24+L32+L37,5)</f>
        <v>515380.78</v>
      </c>
      <c r="M38" s="1">
        <f t="shared" ref="M38:N38" si="20">ROUND(M7+M11+M14+M17+M24+M32+M37,5)</f>
        <v>888351.51</v>
      </c>
      <c r="N38" s="1">
        <f t="shared" si="20"/>
        <v>849039.15</v>
      </c>
      <c r="O38" s="1">
        <f t="shared" si="16"/>
        <v>679734.77600000007</v>
      </c>
    </row>
    <row r="39" spans="3:15" x14ac:dyDescent="0.45">
      <c r="C39" s="2" t="s">
        <v>29</v>
      </c>
      <c r="H39" s="6"/>
      <c r="J39" s="1"/>
      <c r="K39" s="1"/>
      <c r="L39" s="1"/>
    </row>
    <row r="40" spans="3:15" x14ac:dyDescent="0.45">
      <c r="D40" t="s">
        <v>30</v>
      </c>
      <c r="H40" s="6"/>
      <c r="J40" s="1"/>
      <c r="K40" s="1"/>
      <c r="L40" s="1"/>
    </row>
    <row r="41" spans="3:15" x14ac:dyDescent="0.45">
      <c r="E41" s="2" t="s">
        <v>31</v>
      </c>
      <c r="H41" s="6"/>
      <c r="J41" s="1"/>
      <c r="K41" s="1"/>
      <c r="L41" s="1"/>
    </row>
    <row r="42" spans="3:15" x14ac:dyDescent="0.45">
      <c r="F42" t="s">
        <v>32</v>
      </c>
      <c r="H42" s="6"/>
      <c r="J42" s="1"/>
      <c r="K42" s="1"/>
      <c r="L42" s="1"/>
    </row>
    <row r="43" spans="3:15" x14ac:dyDescent="0.45">
      <c r="G43" t="s">
        <v>33</v>
      </c>
      <c r="H43" s="6">
        <v>12000</v>
      </c>
      <c r="I43" s="1">
        <v>12700.909090909092</v>
      </c>
      <c r="J43" s="1">
        <v>10000</v>
      </c>
      <c r="K43" s="1">
        <v>11137.5</v>
      </c>
      <c r="L43" s="1">
        <v>9837.5</v>
      </c>
      <c r="M43" s="1">
        <v>9362.5</v>
      </c>
      <c r="N43" s="1">
        <v>7275</v>
      </c>
      <c r="O43" s="1">
        <f t="shared" ref="O43:O49" si="21">(+N43+M43+L43+K43+I43)/5</f>
        <v>10062.681818181818</v>
      </c>
    </row>
    <row r="44" spans="3:15" x14ac:dyDescent="0.45">
      <c r="G44" t="s">
        <v>34</v>
      </c>
      <c r="H44" s="6">
        <v>300</v>
      </c>
      <c r="I44" s="1">
        <v>265.13454545454545</v>
      </c>
      <c r="J44" s="1">
        <v>100</v>
      </c>
      <c r="K44" s="1">
        <v>49.88</v>
      </c>
      <c r="L44" s="1">
        <v>313.77999999999997</v>
      </c>
      <c r="M44" s="1">
        <v>1935.88</v>
      </c>
      <c r="N44" s="1">
        <v>1013.34</v>
      </c>
      <c r="O44" s="1">
        <f t="shared" si="21"/>
        <v>715.60290909090907</v>
      </c>
    </row>
    <row r="45" spans="3:15" x14ac:dyDescent="0.45">
      <c r="G45" t="s">
        <v>129</v>
      </c>
      <c r="H45" s="6">
        <v>0</v>
      </c>
      <c r="J45" s="1">
        <v>0</v>
      </c>
      <c r="K45" s="1"/>
      <c r="L45" s="1"/>
      <c r="M45" s="1">
        <v>0</v>
      </c>
      <c r="N45" s="1">
        <v>-7.5</v>
      </c>
      <c r="O45" s="1">
        <f t="shared" si="21"/>
        <v>-1.5</v>
      </c>
    </row>
    <row r="46" spans="3:15" x14ac:dyDescent="0.45">
      <c r="G46" t="s">
        <v>35</v>
      </c>
      <c r="H46" s="6">
        <f>+H43*0.0765</f>
        <v>918</v>
      </c>
      <c r="I46" s="1">
        <v>933.25090909090909</v>
      </c>
      <c r="J46" s="1">
        <v>765</v>
      </c>
      <c r="K46" s="1">
        <v>843.61</v>
      </c>
      <c r="L46" s="1">
        <v>752.57</v>
      </c>
      <c r="M46" s="1">
        <v>1661.24</v>
      </c>
      <c r="N46" s="1">
        <v>1217.3499999999999</v>
      </c>
      <c r="O46" s="1">
        <f t="shared" si="21"/>
        <v>1081.6041818181818</v>
      </c>
    </row>
    <row r="47" spans="3:15" x14ac:dyDescent="0.45">
      <c r="G47" t="s">
        <v>36</v>
      </c>
      <c r="H47" s="6">
        <v>0</v>
      </c>
      <c r="I47" s="1">
        <v>0</v>
      </c>
      <c r="J47" s="1">
        <v>50</v>
      </c>
      <c r="K47" s="1">
        <v>30.54</v>
      </c>
      <c r="L47" s="1">
        <v>32.36</v>
      </c>
      <c r="M47" s="1">
        <v>37.659999999999997</v>
      </c>
      <c r="N47" s="1">
        <v>168.07</v>
      </c>
      <c r="O47" s="1">
        <f t="shared" si="21"/>
        <v>53.725999999999999</v>
      </c>
    </row>
    <row r="48" spans="3:15" x14ac:dyDescent="0.45">
      <c r="F48" t="s">
        <v>37</v>
      </c>
      <c r="H48" s="6">
        <f>SUM(H43:H47)</f>
        <v>13218</v>
      </c>
      <c r="I48" s="1">
        <v>13899.294545454544</v>
      </c>
      <c r="J48" s="1">
        <v>10915</v>
      </c>
      <c r="K48" s="1">
        <f t="shared" ref="K48:L48" si="22">SUM(K43:K47)</f>
        <v>12061.53</v>
      </c>
      <c r="L48" s="1">
        <f t="shared" si="22"/>
        <v>10936.210000000001</v>
      </c>
      <c r="M48" s="1">
        <f>ROUND(SUM(M42:M47),5)</f>
        <v>12997.28</v>
      </c>
      <c r="N48" s="1">
        <f>ROUND(SUM(N42:N47),5)</f>
        <v>9666.26</v>
      </c>
      <c r="O48" s="1">
        <f t="shared" si="21"/>
        <v>11912.114909090908</v>
      </c>
    </row>
    <row r="49" spans="5:16" x14ac:dyDescent="0.45">
      <c r="E49" t="s">
        <v>38</v>
      </c>
      <c r="H49" s="47">
        <f>H48</f>
        <v>13218</v>
      </c>
      <c r="I49" s="1">
        <v>13899.294545454544</v>
      </c>
      <c r="J49" s="1">
        <v>10915</v>
      </c>
      <c r="K49" s="1">
        <f t="shared" ref="K49:L49" si="23">K48</f>
        <v>12061.53</v>
      </c>
      <c r="L49" s="1">
        <f t="shared" si="23"/>
        <v>10936.210000000001</v>
      </c>
      <c r="M49" s="1">
        <f>ROUND(M41+M48,5)</f>
        <v>12997.28</v>
      </c>
      <c r="N49" s="1">
        <f>ROUND(N41+N48,5)</f>
        <v>9666.26</v>
      </c>
      <c r="O49" s="1">
        <f t="shared" si="21"/>
        <v>11912.114909090908</v>
      </c>
    </row>
    <row r="50" spans="5:16" x14ac:dyDescent="0.45">
      <c r="E50" s="2" t="s">
        <v>39</v>
      </c>
      <c r="H50" s="6"/>
      <c r="J50" s="1"/>
      <c r="K50" s="1"/>
      <c r="L50" s="1"/>
    </row>
    <row r="51" spans="5:16" x14ac:dyDescent="0.45">
      <c r="F51" t="s">
        <v>40</v>
      </c>
      <c r="H51" s="6">
        <v>15000</v>
      </c>
      <c r="I51" s="1">
        <v>13210.909090909092</v>
      </c>
      <c r="J51" s="1">
        <v>25000</v>
      </c>
      <c r="K51" s="1">
        <v>25762.5</v>
      </c>
      <c r="L51" s="1">
        <v>27122.5</v>
      </c>
      <c r="M51" s="1">
        <v>15825</v>
      </c>
      <c r="N51" s="1">
        <v>7927</v>
      </c>
      <c r="O51" s="1">
        <f t="shared" ref="O51:O56" si="24">(+N51+M51+L51+K51+I51)/5</f>
        <v>17969.581818181818</v>
      </c>
    </row>
    <row r="52" spans="5:16" x14ac:dyDescent="0.45">
      <c r="F52" t="s">
        <v>130</v>
      </c>
      <c r="H52" s="6">
        <v>800</v>
      </c>
      <c r="I52" s="1">
        <v>808.30909090909086</v>
      </c>
      <c r="J52" s="1">
        <v>500</v>
      </c>
      <c r="K52" s="1">
        <v>829.33</v>
      </c>
      <c r="L52" s="1">
        <v>482.52</v>
      </c>
      <c r="M52" s="1">
        <v>0</v>
      </c>
      <c r="N52" s="1">
        <v>50.29</v>
      </c>
      <c r="O52" s="1">
        <f t="shared" si="24"/>
        <v>434.0898181818182</v>
      </c>
    </row>
    <row r="53" spans="5:16" x14ac:dyDescent="0.45">
      <c r="F53" t="s">
        <v>41</v>
      </c>
      <c r="H53" s="6">
        <f>H51*0.05</f>
        <v>750</v>
      </c>
      <c r="I53" s="1">
        <v>660.55636363636359</v>
      </c>
      <c r="J53" s="1">
        <v>1250</v>
      </c>
      <c r="K53" s="1">
        <v>1260.9000000000001</v>
      </c>
      <c r="L53" s="1">
        <v>1352.41</v>
      </c>
      <c r="M53" s="1">
        <v>1087.27</v>
      </c>
      <c r="N53" s="1">
        <v>433.85</v>
      </c>
      <c r="O53" s="1">
        <f t="shared" si="24"/>
        <v>958.99727272727284</v>
      </c>
    </row>
    <row r="54" spans="5:16" x14ac:dyDescent="0.45">
      <c r="F54" t="s">
        <v>42</v>
      </c>
      <c r="H54" s="6">
        <f>H51*0.0765</f>
        <v>1147.5</v>
      </c>
      <c r="I54" s="1">
        <v>1049.04</v>
      </c>
      <c r="J54" s="1">
        <v>1912.5</v>
      </c>
      <c r="K54" s="1">
        <v>1930.67</v>
      </c>
      <c r="L54" s="1">
        <v>2069.14</v>
      </c>
      <c r="M54" s="1">
        <v>1060.93</v>
      </c>
      <c r="N54" s="1">
        <v>516.76</v>
      </c>
      <c r="O54" s="1">
        <f t="shared" si="24"/>
        <v>1325.308</v>
      </c>
    </row>
    <row r="55" spans="5:16" x14ac:dyDescent="0.45">
      <c r="F55" t="s">
        <v>43</v>
      </c>
      <c r="H55" s="6">
        <v>3000</v>
      </c>
      <c r="I55" s="1">
        <v>0</v>
      </c>
      <c r="J55" s="1">
        <v>0</v>
      </c>
      <c r="K55" s="1">
        <v>4809.63</v>
      </c>
      <c r="L55" s="1">
        <v>3687.28</v>
      </c>
      <c r="M55" s="1">
        <v>3464.9</v>
      </c>
      <c r="N55" s="1">
        <v>727.63</v>
      </c>
      <c r="O55" s="1">
        <f t="shared" si="24"/>
        <v>2537.8879999999999</v>
      </c>
    </row>
    <row r="56" spans="5:16" x14ac:dyDescent="0.45">
      <c r="F56" t="s">
        <v>44</v>
      </c>
      <c r="H56" s="6">
        <v>100</v>
      </c>
      <c r="J56" s="1">
        <v>100</v>
      </c>
      <c r="K56" s="1">
        <v>0</v>
      </c>
      <c r="L56" s="1">
        <v>56</v>
      </c>
      <c r="M56" s="1">
        <v>47.38</v>
      </c>
      <c r="N56" s="1">
        <v>184</v>
      </c>
      <c r="O56" s="1">
        <f t="shared" si="24"/>
        <v>57.475999999999999</v>
      </c>
    </row>
    <row r="57" spans="5:16" x14ac:dyDescent="0.45">
      <c r="F57" t="s">
        <v>45</v>
      </c>
      <c r="H57" s="6"/>
      <c r="J57" s="1"/>
      <c r="K57" s="1"/>
      <c r="L57" s="1"/>
    </row>
    <row r="58" spans="5:16" x14ac:dyDescent="0.45">
      <c r="G58" t="s">
        <v>46</v>
      </c>
      <c r="H58" s="6">
        <v>405</v>
      </c>
      <c r="I58" s="1">
        <v>441.81818181818187</v>
      </c>
      <c r="J58" s="1">
        <v>405</v>
      </c>
      <c r="K58" s="1">
        <v>400</v>
      </c>
      <c r="L58" s="1">
        <v>405</v>
      </c>
      <c r="M58" s="1">
        <v>405</v>
      </c>
      <c r="N58" s="1">
        <v>405</v>
      </c>
      <c r="O58" s="1">
        <f t="shared" ref="O58:O86" si="25">(+N58+M58+L58+K58+I58)/5</f>
        <v>411.36363636363637</v>
      </c>
    </row>
    <row r="59" spans="5:16" x14ac:dyDescent="0.45">
      <c r="G59" t="s">
        <v>131</v>
      </c>
      <c r="H59" s="6">
        <v>5250</v>
      </c>
      <c r="I59" s="1">
        <v>6000</v>
      </c>
      <c r="J59" s="1">
        <v>6300</v>
      </c>
      <c r="K59" s="1">
        <v>5632</v>
      </c>
      <c r="L59" s="1">
        <v>5032</v>
      </c>
      <c r="M59" s="1">
        <v>3782</v>
      </c>
      <c r="N59" s="1">
        <v>4878</v>
      </c>
      <c r="O59" s="1">
        <f t="shared" si="25"/>
        <v>5064.8</v>
      </c>
    </row>
    <row r="60" spans="5:16" x14ac:dyDescent="0.45">
      <c r="G60" t="s">
        <v>47</v>
      </c>
      <c r="H60" s="6">
        <v>250</v>
      </c>
      <c r="I60" s="1">
        <v>86.607272727272729</v>
      </c>
      <c r="J60" s="1">
        <v>250</v>
      </c>
      <c r="K60" s="1">
        <v>215.03</v>
      </c>
      <c r="L60" s="1">
        <v>336.99</v>
      </c>
      <c r="M60" s="1">
        <v>642.91</v>
      </c>
      <c r="N60" s="1">
        <v>87.52</v>
      </c>
      <c r="O60" s="1">
        <f t="shared" si="25"/>
        <v>273.81145454545452</v>
      </c>
    </row>
    <row r="61" spans="5:16" x14ac:dyDescent="0.45">
      <c r="G61" t="s">
        <v>48</v>
      </c>
      <c r="H61" s="6">
        <v>500</v>
      </c>
      <c r="I61" s="1">
        <v>226.12363636363636</v>
      </c>
      <c r="J61" s="1">
        <v>500</v>
      </c>
      <c r="K61" s="1">
        <v>55.82</v>
      </c>
      <c r="L61" s="1">
        <v>749.33</v>
      </c>
      <c r="M61" s="1">
        <v>420.65</v>
      </c>
      <c r="N61" s="1">
        <v>927.48</v>
      </c>
      <c r="O61" s="1">
        <f t="shared" si="25"/>
        <v>475.88072727272731</v>
      </c>
    </row>
    <row r="62" spans="5:16" x14ac:dyDescent="0.45">
      <c r="G62" t="s">
        <v>49</v>
      </c>
      <c r="H62" s="6">
        <v>2500</v>
      </c>
      <c r="I62" s="1">
        <v>1114.909090909091</v>
      </c>
      <c r="J62" s="1">
        <v>1500</v>
      </c>
      <c r="K62" s="1">
        <v>987.96</v>
      </c>
      <c r="L62" s="1">
        <v>819.54</v>
      </c>
      <c r="M62" s="1">
        <v>2181.46</v>
      </c>
      <c r="N62" s="1">
        <v>545.09</v>
      </c>
      <c r="O62" s="1">
        <f t="shared" si="25"/>
        <v>1129.7918181818181</v>
      </c>
      <c r="P62" s="1" t="s">
        <v>237</v>
      </c>
    </row>
    <row r="63" spans="5:16" x14ac:dyDescent="0.45">
      <c r="G63" t="s">
        <v>50</v>
      </c>
      <c r="H63" s="6">
        <v>250</v>
      </c>
      <c r="I63" s="1">
        <v>686.9454545454546</v>
      </c>
      <c r="J63" s="1">
        <v>250</v>
      </c>
      <c r="K63" s="1">
        <v>69.34</v>
      </c>
      <c r="L63" s="1">
        <v>496.29</v>
      </c>
      <c r="M63" s="1">
        <v>391.08</v>
      </c>
      <c r="N63" s="1">
        <v>397.67</v>
      </c>
      <c r="O63" s="1">
        <f t="shared" si="25"/>
        <v>408.26509090909087</v>
      </c>
    </row>
    <row r="64" spans="5:16" x14ac:dyDescent="0.45">
      <c r="G64" t="s">
        <v>51</v>
      </c>
      <c r="H64" s="6">
        <v>300</v>
      </c>
      <c r="I64" s="1">
        <v>109.09090909090909</v>
      </c>
      <c r="J64" s="1">
        <v>300</v>
      </c>
      <c r="K64" s="1">
        <v>150</v>
      </c>
      <c r="L64" s="1">
        <v>405</v>
      </c>
      <c r="M64" s="1">
        <v>185</v>
      </c>
      <c r="N64" s="1">
        <v>1007.91</v>
      </c>
      <c r="O64" s="1">
        <f t="shared" si="25"/>
        <v>371.40018181818175</v>
      </c>
    </row>
    <row r="65" spans="7:16" x14ac:dyDescent="0.45">
      <c r="G65" t="s">
        <v>52</v>
      </c>
      <c r="H65" s="6">
        <v>250</v>
      </c>
      <c r="I65" s="1">
        <v>0</v>
      </c>
      <c r="J65" s="1">
        <v>250</v>
      </c>
      <c r="K65" s="1">
        <v>195</v>
      </c>
      <c r="L65" s="1">
        <v>252.49</v>
      </c>
      <c r="M65" s="1">
        <v>258.76</v>
      </c>
      <c r="N65" s="1">
        <v>170.68</v>
      </c>
      <c r="O65" s="1">
        <f t="shared" si="25"/>
        <v>175.38600000000002</v>
      </c>
    </row>
    <row r="66" spans="7:16" x14ac:dyDescent="0.45">
      <c r="G66" t="s">
        <v>53</v>
      </c>
      <c r="H66" s="6">
        <v>150</v>
      </c>
      <c r="I66" s="1">
        <v>54.545454545454547</v>
      </c>
      <c r="J66" s="1">
        <v>150</v>
      </c>
      <c r="K66" s="1">
        <v>150.1</v>
      </c>
      <c r="L66" s="1">
        <v>184.01</v>
      </c>
      <c r="M66" s="1">
        <v>575.70000000000005</v>
      </c>
      <c r="N66" s="1">
        <v>0</v>
      </c>
      <c r="O66" s="1">
        <f t="shared" si="25"/>
        <v>192.87109090909092</v>
      </c>
    </row>
    <row r="67" spans="7:16" x14ac:dyDescent="0.45">
      <c r="G67" t="s">
        <v>235</v>
      </c>
      <c r="H67" s="6">
        <v>1000</v>
      </c>
      <c r="I67" s="1">
        <v>1504.6363636363637</v>
      </c>
      <c r="J67" s="1">
        <v>1300</v>
      </c>
      <c r="K67" s="1">
        <v>1043.9100000000001</v>
      </c>
      <c r="L67" s="1">
        <v>1978.98</v>
      </c>
      <c r="M67" s="1">
        <v>1988.45</v>
      </c>
      <c r="N67" s="1">
        <v>1847.88</v>
      </c>
      <c r="O67" s="1">
        <f t="shared" si="25"/>
        <v>1672.7712727272726</v>
      </c>
    </row>
    <row r="68" spans="7:16" x14ac:dyDescent="0.45">
      <c r="G68" t="s">
        <v>54</v>
      </c>
      <c r="H68" s="6">
        <f>120*12</f>
        <v>1440</v>
      </c>
      <c r="I68" s="1">
        <v>1528.8872727272728</v>
      </c>
      <c r="J68" s="1">
        <v>1500</v>
      </c>
      <c r="K68" s="1">
        <v>1641.2</v>
      </c>
      <c r="L68" s="1">
        <v>1995.53</v>
      </c>
      <c r="M68" s="1">
        <v>1893.86</v>
      </c>
      <c r="N68" s="1">
        <v>2609.5500000000002</v>
      </c>
      <c r="O68" s="1">
        <f t="shared" si="25"/>
        <v>1933.8054545454543</v>
      </c>
      <c r="P68" s="1" t="s">
        <v>233</v>
      </c>
    </row>
    <row r="69" spans="7:16" x14ac:dyDescent="0.45">
      <c r="G69" t="s">
        <v>55</v>
      </c>
      <c r="H69" s="6">
        <v>3000</v>
      </c>
      <c r="I69" s="1">
        <v>150.21818181818182</v>
      </c>
      <c r="J69" s="1">
        <v>200</v>
      </c>
      <c r="K69" s="1">
        <v>180.32</v>
      </c>
      <c r="L69" s="1">
        <v>233.41</v>
      </c>
      <c r="M69" s="1">
        <v>389.09</v>
      </c>
      <c r="N69" s="1">
        <v>797.92</v>
      </c>
      <c r="O69" s="1">
        <f t="shared" si="25"/>
        <v>350.19163636363635</v>
      </c>
      <c r="P69" s="1" t="s">
        <v>236</v>
      </c>
    </row>
    <row r="70" spans="7:16" x14ac:dyDescent="0.45">
      <c r="G70" t="s">
        <v>56</v>
      </c>
      <c r="H70" s="6">
        <v>1200</v>
      </c>
      <c r="I70" s="1">
        <v>2526.2181818181816</v>
      </c>
      <c r="J70" s="1">
        <v>1600</v>
      </c>
      <c r="K70" s="1">
        <v>1353.74</v>
      </c>
      <c r="L70" s="1">
        <v>1110.44</v>
      </c>
      <c r="M70" s="1">
        <v>1251.1099999999999</v>
      </c>
      <c r="N70" s="1">
        <v>691.13</v>
      </c>
      <c r="O70" s="1">
        <f t="shared" si="25"/>
        <v>1386.5276363636362</v>
      </c>
    </row>
    <row r="71" spans="7:16" x14ac:dyDescent="0.45">
      <c r="G71" t="s">
        <v>57</v>
      </c>
      <c r="H71" s="6">
        <v>1000</v>
      </c>
      <c r="J71" s="1">
        <v>1000</v>
      </c>
      <c r="K71" s="1"/>
      <c r="L71" s="1"/>
      <c r="M71" s="1">
        <v>110.52</v>
      </c>
      <c r="N71" s="1">
        <v>0</v>
      </c>
      <c r="O71" s="1">
        <f t="shared" si="25"/>
        <v>22.103999999999999</v>
      </c>
    </row>
    <row r="72" spans="7:16" x14ac:dyDescent="0.45">
      <c r="G72" t="s">
        <v>58</v>
      </c>
      <c r="H72" s="6">
        <v>3000</v>
      </c>
      <c r="I72" s="1">
        <v>1630.1127272727272</v>
      </c>
      <c r="J72" s="1">
        <v>3000</v>
      </c>
      <c r="K72" s="1">
        <v>3214.96</v>
      </c>
      <c r="L72" s="1">
        <v>2081.48</v>
      </c>
      <c r="M72" s="1">
        <v>3358.69</v>
      </c>
      <c r="N72" s="1">
        <v>1907.81</v>
      </c>
      <c r="O72" s="1">
        <f t="shared" si="25"/>
        <v>2438.6105454545454</v>
      </c>
      <c r="P72" s="1" t="s">
        <v>179</v>
      </c>
    </row>
    <row r="73" spans="7:16" x14ac:dyDescent="0.45">
      <c r="G73" t="s">
        <v>59</v>
      </c>
      <c r="H73" s="6">
        <v>0</v>
      </c>
      <c r="J73" s="1">
        <v>0</v>
      </c>
      <c r="K73" s="1"/>
      <c r="L73" s="1"/>
      <c r="M73" s="1">
        <v>1000</v>
      </c>
      <c r="N73" s="1">
        <v>0</v>
      </c>
      <c r="O73" s="1">
        <f t="shared" si="25"/>
        <v>200</v>
      </c>
    </row>
    <row r="74" spans="7:16" x14ac:dyDescent="0.45">
      <c r="G74" t="s">
        <v>60</v>
      </c>
      <c r="H74" s="6">
        <v>3250</v>
      </c>
      <c r="I74" s="1">
        <v>3181.090909090909</v>
      </c>
      <c r="J74" s="1">
        <v>4500</v>
      </c>
      <c r="K74" s="1">
        <v>4374</v>
      </c>
      <c r="L74" s="1">
        <v>3796</v>
      </c>
      <c r="M74" s="1">
        <v>3319</v>
      </c>
      <c r="N74" s="1">
        <v>3269</v>
      </c>
      <c r="O74" s="1">
        <f t="shared" si="25"/>
        <v>3587.8181818181815</v>
      </c>
    </row>
    <row r="75" spans="7:16" x14ac:dyDescent="0.45">
      <c r="G75" t="s">
        <v>61</v>
      </c>
      <c r="H75" s="6">
        <v>3500</v>
      </c>
      <c r="I75" s="1">
        <v>2862.0327272727277</v>
      </c>
      <c r="J75" s="1">
        <v>3500</v>
      </c>
      <c r="K75" s="1">
        <v>3212.48</v>
      </c>
      <c r="L75" s="1">
        <v>3423.63</v>
      </c>
      <c r="M75" s="1">
        <v>3459.67</v>
      </c>
      <c r="N75" s="1">
        <v>2610.9</v>
      </c>
      <c r="O75" s="1">
        <f t="shared" si="25"/>
        <v>3113.7425454545455</v>
      </c>
    </row>
    <row r="76" spans="7:16" x14ac:dyDescent="0.45">
      <c r="G76" t="s">
        <v>62</v>
      </c>
      <c r="H76" s="6">
        <v>3000</v>
      </c>
      <c r="I76" s="1">
        <v>2281.7127272727275</v>
      </c>
      <c r="J76" s="1">
        <v>2500</v>
      </c>
      <c r="K76" s="1">
        <v>2401.56</v>
      </c>
      <c r="L76" s="1">
        <v>3672.93</v>
      </c>
      <c r="M76" s="1">
        <v>3752.84</v>
      </c>
      <c r="N76" s="1">
        <v>4338.6400000000003</v>
      </c>
      <c r="O76" s="1">
        <f t="shared" si="25"/>
        <v>3289.5365454545454</v>
      </c>
    </row>
    <row r="77" spans="7:16" x14ac:dyDescent="0.45">
      <c r="G77" t="s">
        <v>143</v>
      </c>
      <c r="H77" s="6">
        <v>100</v>
      </c>
      <c r="I77" s="1">
        <v>85.090909090909093</v>
      </c>
      <c r="J77" s="1">
        <v>25</v>
      </c>
      <c r="K77" s="1">
        <v>411.13</v>
      </c>
      <c r="L77" s="1">
        <v>18</v>
      </c>
      <c r="O77" s="1">
        <f t="shared" si="25"/>
        <v>102.84418181818182</v>
      </c>
    </row>
    <row r="78" spans="7:16" x14ac:dyDescent="0.45">
      <c r="G78" t="s">
        <v>63</v>
      </c>
      <c r="H78" s="6">
        <v>150</v>
      </c>
      <c r="I78" s="1">
        <v>152.72727272727272</v>
      </c>
      <c r="J78" s="1">
        <v>130</v>
      </c>
      <c r="K78" s="1">
        <v>260</v>
      </c>
      <c r="L78" s="1">
        <v>130</v>
      </c>
      <c r="M78" s="1">
        <v>130</v>
      </c>
      <c r="N78" s="1">
        <v>115</v>
      </c>
      <c r="O78" s="1">
        <f t="shared" si="25"/>
        <v>157.54545454545456</v>
      </c>
    </row>
    <row r="79" spans="7:16" x14ac:dyDescent="0.45">
      <c r="G79" t="s">
        <v>64</v>
      </c>
      <c r="H79" s="6">
        <v>5000</v>
      </c>
      <c r="I79" s="1">
        <v>3807.272727272727</v>
      </c>
      <c r="J79" s="1">
        <v>7000</v>
      </c>
      <c r="K79" s="1">
        <v>7150</v>
      </c>
      <c r="L79" s="1">
        <v>2522.85</v>
      </c>
      <c r="M79" s="1">
        <v>7586.5</v>
      </c>
      <c r="N79" s="1">
        <v>20</v>
      </c>
      <c r="O79" s="1">
        <f t="shared" si="25"/>
        <v>4217.3245454545449</v>
      </c>
    </row>
    <row r="80" spans="7:16" x14ac:dyDescent="0.45">
      <c r="G80" t="s">
        <v>65</v>
      </c>
      <c r="H80" s="6">
        <v>350</v>
      </c>
      <c r="I80" s="1">
        <v>136.36363636363637</v>
      </c>
      <c r="J80" s="1">
        <v>350</v>
      </c>
      <c r="K80" s="1">
        <v>319.95</v>
      </c>
      <c r="L80" s="1">
        <v>400</v>
      </c>
      <c r="M80" s="1">
        <v>780</v>
      </c>
      <c r="N80" s="1">
        <v>660</v>
      </c>
      <c r="O80" s="1">
        <f t="shared" si="25"/>
        <v>459.26272727272726</v>
      </c>
    </row>
    <row r="81" spans="5:16" x14ac:dyDescent="0.45">
      <c r="G81" t="s">
        <v>66</v>
      </c>
      <c r="H81" s="6">
        <v>1500</v>
      </c>
      <c r="I81" s="1">
        <v>1223.7054545454546</v>
      </c>
      <c r="J81" s="1">
        <v>1500</v>
      </c>
      <c r="K81" s="1">
        <v>1393.77</v>
      </c>
      <c r="L81" s="1">
        <v>1087.17</v>
      </c>
      <c r="M81" s="1">
        <v>1457.6</v>
      </c>
      <c r="N81" s="1">
        <v>1077.96</v>
      </c>
      <c r="O81" s="1">
        <f t="shared" si="25"/>
        <v>1248.0410909090911</v>
      </c>
    </row>
    <row r="82" spans="5:16" x14ac:dyDescent="0.45">
      <c r="G82" t="s">
        <v>67</v>
      </c>
      <c r="H82" s="6">
        <v>2000</v>
      </c>
      <c r="I82" s="1">
        <v>1090.909090909091</v>
      </c>
      <c r="J82" s="1">
        <v>2000</v>
      </c>
      <c r="K82" s="1">
        <v>500</v>
      </c>
      <c r="L82" s="1">
        <v>1000</v>
      </c>
      <c r="M82" s="1">
        <v>1000</v>
      </c>
      <c r="N82" s="1">
        <v>1000</v>
      </c>
      <c r="O82" s="1">
        <f t="shared" si="25"/>
        <v>918.18181818181824</v>
      </c>
    </row>
    <row r="83" spans="5:16" x14ac:dyDescent="0.45">
      <c r="G83" t="s">
        <v>68</v>
      </c>
      <c r="H83" s="6">
        <v>1000</v>
      </c>
      <c r="I83" s="1">
        <v>119.35636363636362</v>
      </c>
      <c r="J83" s="1">
        <v>1000</v>
      </c>
      <c r="K83" s="1">
        <v>11170.17</v>
      </c>
      <c r="L83" s="1">
        <v>1013.55</v>
      </c>
      <c r="M83" s="1">
        <v>1056.24</v>
      </c>
      <c r="N83" s="1">
        <v>3251.91</v>
      </c>
      <c r="O83" s="1">
        <f t="shared" si="25"/>
        <v>3322.245272727273</v>
      </c>
    </row>
    <row r="84" spans="5:16" x14ac:dyDescent="0.45">
      <c r="G84" t="s">
        <v>69</v>
      </c>
      <c r="H84" s="6">
        <v>250</v>
      </c>
      <c r="I84" s="1">
        <v>109.09090909090909</v>
      </c>
      <c r="J84" s="1">
        <v>250</v>
      </c>
      <c r="K84" s="1">
        <v>25</v>
      </c>
      <c r="L84" s="1">
        <v>120</v>
      </c>
      <c r="M84" s="1">
        <v>268.25</v>
      </c>
      <c r="N84" s="1">
        <v>297.60000000000002</v>
      </c>
      <c r="O84" s="1">
        <f t="shared" si="25"/>
        <v>163.98818181818183</v>
      </c>
    </row>
    <row r="85" spans="5:16" x14ac:dyDescent="0.45">
      <c r="F85" t="s">
        <v>70</v>
      </c>
      <c r="H85" s="6">
        <f>SUM(H58:H84)</f>
        <v>40595</v>
      </c>
      <c r="I85" s="1">
        <v>25109.465454545454</v>
      </c>
      <c r="J85" s="1">
        <v>41260</v>
      </c>
      <c r="K85" s="1">
        <f t="shared" ref="K85:L85" si="26">SUM(K58:K84)</f>
        <v>46507.439999999995</v>
      </c>
      <c r="L85" s="1">
        <f t="shared" si="26"/>
        <v>33264.620000000003</v>
      </c>
      <c r="M85" s="1">
        <f t="shared" ref="M85" si="27">SUM(M58:M84)</f>
        <v>41644.380000000005</v>
      </c>
      <c r="N85" s="1">
        <f t="shared" ref="N85" si="28">SUM(N58:N84)</f>
        <v>32914.65</v>
      </c>
      <c r="O85" s="1">
        <f t="shared" si="25"/>
        <v>35888.111090909093</v>
      </c>
    </row>
    <row r="86" spans="5:16" x14ac:dyDescent="0.45">
      <c r="E86" t="s">
        <v>71</v>
      </c>
      <c r="H86" s="42">
        <f>SUM(H51:H56)+H85</f>
        <v>61392.5</v>
      </c>
      <c r="I86" s="46">
        <v>40838.28</v>
      </c>
      <c r="J86" s="1">
        <v>70022.5</v>
      </c>
      <c r="K86" s="1">
        <f t="shared" ref="K86:L86" si="29">SUM(K51:K56)+K85</f>
        <v>81100.47</v>
      </c>
      <c r="L86" s="1">
        <f t="shared" si="29"/>
        <v>68034.47</v>
      </c>
      <c r="M86" s="1">
        <f t="shared" ref="M86" si="30">SUM(M51:M56)+M85</f>
        <v>63129.860000000008</v>
      </c>
      <c r="N86" s="1">
        <f t="shared" ref="N86" si="31">SUM(N51:N56)+N85</f>
        <v>42754.18</v>
      </c>
      <c r="O86" s="1">
        <f t="shared" si="25"/>
        <v>59171.452000000005</v>
      </c>
    </row>
    <row r="87" spans="5:16" x14ac:dyDescent="0.45">
      <c r="E87" s="2" t="s">
        <v>72</v>
      </c>
      <c r="H87" s="6"/>
      <c r="J87" s="1"/>
      <c r="K87" s="1"/>
      <c r="L87" s="1"/>
    </row>
    <row r="88" spans="5:16" x14ac:dyDescent="0.45">
      <c r="F88" t="s">
        <v>73</v>
      </c>
      <c r="H88" s="6">
        <v>0</v>
      </c>
      <c r="J88" s="1">
        <v>0</v>
      </c>
      <c r="K88" s="1"/>
      <c r="L88" s="1"/>
      <c r="M88" s="1">
        <v>8500</v>
      </c>
      <c r="N88" s="1">
        <v>0</v>
      </c>
      <c r="O88" s="1">
        <f>(+N88+M88+L88+K88+I88)/5</f>
        <v>1700</v>
      </c>
      <c r="P88" s="1" t="s">
        <v>157</v>
      </c>
    </row>
    <row r="89" spans="5:16" x14ac:dyDescent="0.45">
      <c r="F89" t="s">
        <v>74</v>
      </c>
      <c r="H89" s="6"/>
      <c r="J89" s="1"/>
      <c r="K89" s="1"/>
      <c r="L89" s="1"/>
    </row>
    <row r="90" spans="5:16" x14ac:dyDescent="0.45">
      <c r="G90" t="s">
        <v>75</v>
      </c>
      <c r="H90" s="6">
        <v>7000</v>
      </c>
      <c r="I90" s="1">
        <v>6987.272727272727</v>
      </c>
      <c r="J90" s="1">
        <v>7000</v>
      </c>
      <c r="K90" s="1">
        <v>7170</v>
      </c>
      <c r="L90" s="1">
        <v>6742.5</v>
      </c>
      <c r="M90" s="1">
        <v>7045</v>
      </c>
      <c r="N90" s="1">
        <v>7635</v>
      </c>
      <c r="O90" s="1">
        <f t="shared" ref="O90:O98" si="32">(+N90+M90+L90+K90+I90)/5</f>
        <v>7115.954545454546</v>
      </c>
    </row>
    <row r="91" spans="5:16" x14ac:dyDescent="0.45">
      <c r="G91" t="s">
        <v>145</v>
      </c>
      <c r="H91" s="6">
        <f>+H90*0.05</f>
        <v>350</v>
      </c>
      <c r="I91" s="1">
        <v>345.27272727272725</v>
      </c>
      <c r="J91" s="1">
        <v>350</v>
      </c>
      <c r="K91" s="1">
        <v>359.5</v>
      </c>
      <c r="L91" s="1">
        <v>337.13</v>
      </c>
      <c r="O91" s="1">
        <f t="shared" si="32"/>
        <v>208.38054545454543</v>
      </c>
    </row>
    <row r="92" spans="5:16" x14ac:dyDescent="0.45">
      <c r="G92" t="s">
        <v>76</v>
      </c>
      <c r="H92" s="6">
        <f>+H90*0.0765</f>
        <v>535.5</v>
      </c>
      <c r="I92" s="1">
        <v>528.27272727272725</v>
      </c>
      <c r="J92" s="1">
        <v>535.5</v>
      </c>
      <c r="K92" s="1">
        <v>548.51</v>
      </c>
      <c r="L92" s="1">
        <v>515.80999999999995</v>
      </c>
      <c r="M92" s="1">
        <v>573.37</v>
      </c>
      <c r="N92" s="1">
        <v>589.80999999999995</v>
      </c>
      <c r="O92" s="1">
        <f t="shared" si="32"/>
        <v>551.15454545454543</v>
      </c>
    </row>
    <row r="93" spans="5:16" x14ac:dyDescent="0.45">
      <c r="G93" t="s">
        <v>132</v>
      </c>
      <c r="H93" s="6">
        <v>0</v>
      </c>
      <c r="J93" s="1">
        <v>0</v>
      </c>
      <c r="K93" s="1"/>
      <c r="L93" s="1"/>
      <c r="M93" s="1">
        <v>0</v>
      </c>
      <c r="N93" s="1">
        <v>270</v>
      </c>
      <c r="O93" s="1">
        <f t="shared" si="32"/>
        <v>54</v>
      </c>
    </row>
    <row r="94" spans="5:16" x14ac:dyDescent="0.45">
      <c r="F94" t="s">
        <v>77</v>
      </c>
      <c r="H94" s="6">
        <f>SUM(H90:H93)</f>
        <v>7885.5</v>
      </c>
      <c r="I94" s="1">
        <v>7860.818181818182</v>
      </c>
      <c r="J94" s="1">
        <v>7885.5</v>
      </c>
      <c r="K94" s="1">
        <f t="shared" ref="K94:N94" si="33">SUM(K90:K93)</f>
        <v>8078.01</v>
      </c>
      <c r="L94" s="1">
        <f t="shared" si="33"/>
        <v>7595.4400000000005</v>
      </c>
      <c r="M94" s="1">
        <f t="shared" si="33"/>
        <v>7618.37</v>
      </c>
      <c r="N94" s="1">
        <f t="shared" si="33"/>
        <v>8494.81</v>
      </c>
      <c r="O94" s="1">
        <f t="shared" si="32"/>
        <v>7929.4896363636381</v>
      </c>
    </row>
    <row r="95" spans="5:16" x14ac:dyDescent="0.45">
      <c r="F95" t="s">
        <v>78</v>
      </c>
      <c r="H95" s="6">
        <v>17000</v>
      </c>
      <c r="I95" s="1">
        <v>21127.636363636364</v>
      </c>
      <c r="J95" s="1">
        <v>23000</v>
      </c>
      <c r="K95" s="1">
        <v>22066.39</v>
      </c>
      <c r="L95" s="1">
        <v>21661</v>
      </c>
      <c r="M95" s="1">
        <v>20846.669999999998</v>
      </c>
      <c r="N95" s="1">
        <v>20515</v>
      </c>
      <c r="O95" s="1">
        <f t="shared" si="32"/>
        <v>21243.339272727273</v>
      </c>
    </row>
    <row r="96" spans="5:16" x14ac:dyDescent="0.45">
      <c r="F96" t="s">
        <v>133</v>
      </c>
      <c r="H96" s="6">
        <v>0</v>
      </c>
      <c r="J96" s="1">
        <v>0</v>
      </c>
      <c r="K96" s="1"/>
      <c r="L96" s="1"/>
      <c r="M96" s="1">
        <v>2656</v>
      </c>
      <c r="N96" s="1">
        <v>0</v>
      </c>
      <c r="O96" s="1">
        <f t="shared" si="32"/>
        <v>531.20000000000005</v>
      </c>
    </row>
    <row r="97" spans="5:16" x14ac:dyDescent="0.45">
      <c r="E97" t="s">
        <v>79</v>
      </c>
      <c r="H97" s="47">
        <f>H96+H95+H94+H88</f>
        <v>24885.5</v>
      </c>
      <c r="I97" s="1">
        <v>28988.454545454544</v>
      </c>
      <c r="J97" s="1">
        <v>30885.5</v>
      </c>
      <c r="K97" s="1">
        <f t="shared" ref="K97:L97" si="34">K96+K95+K94+K88</f>
        <v>30144.400000000001</v>
      </c>
      <c r="L97" s="1">
        <f t="shared" si="34"/>
        <v>29256.440000000002</v>
      </c>
      <c r="M97" s="1">
        <f t="shared" ref="M97" si="35">M96+M95+M94+M88</f>
        <v>39621.039999999994</v>
      </c>
      <c r="N97" s="1">
        <f t="shared" ref="N97" si="36">N96+N95+N94+N88</f>
        <v>29009.809999999998</v>
      </c>
      <c r="O97" s="1">
        <f t="shared" si="32"/>
        <v>31404.028909090906</v>
      </c>
    </row>
    <row r="98" spans="5:16" x14ac:dyDescent="0.45">
      <c r="E98" s="2" t="s">
        <v>80</v>
      </c>
      <c r="H98" s="47">
        <v>0</v>
      </c>
      <c r="I98" s="46">
        <v>5297.727272727273</v>
      </c>
      <c r="J98" s="1">
        <v>5000</v>
      </c>
      <c r="K98" s="1">
        <v>8318.6</v>
      </c>
      <c r="L98" s="1">
        <v>9223.36</v>
      </c>
      <c r="M98" s="1">
        <v>40965.71</v>
      </c>
      <c r="N98" s="1">
        <v>21043.7</v>
      </c>
      <c r="O98" s="1">
        <f t="shared" si="32"/>
        <v>16969.819454545457</v>
      </c>
    </row>
    <row r="99" spans="5:16" x14ac:dyDescent="0.45">
      <c r="E99" s="2"/>
      <c r="G99" t="s">
        <v>249</v>
      </c>
      <c r="H99" s="47">
        <v>4000</v>
      </c>
      <c r="I99" s="46"/>
      <c r="J99" s="1"/>
      <c r="K99" s="1"/>
      <c r="L99" s="1"/>
    </row>
    <row r="100" spans="5:16" x14ac:dyDescent="0.45">
      <c r="E100" s="2"/>
      <c r="G100" t="s">
        <v>250</v>
      </c>
      <c r="H100" s="47">
        <v>10000</v>
      </c>
      <c r="I100" s="46"/>
      <c r="J100" s="1"/>
      <c r="K100" s="1"/>
      <c r="L100" s="1"/>
      <c r="P100" s="1" t="s">
        <v>245</v>
      </c>
    </row>
    <row r="101" spans="5:16" x14ac:dyDescent="0.45">
      <c r="E101" s="2" t="s">
        <v>81</v>
      </c>
      <c r="H101" s="6"/>
      <c r="J101" s="1"/>
      <c r="K101" s="1"/>
      <c r="L101" s="1"/>
    </row>
    <row r="102" spans="5:16" x14ac:dyDescent="0.45">
      <c r="F102" t="s">
        <v>82</v>
      </c>
      <c r="H102" s="6"/>
      <c r="J102" s="1"/>
      <c r="K102" s="1"/>
      <c r="L102" s="1"/>
    </row>
    <row r="103" spans="5:16" x14ac:dyDescent="0.45">
      <c r="G103" t="s">
        <v>83</v>
      </c>
      <c r="H103" s="6">
        <v>23000</v>
      </c>
      <c r="I103" s="1">
        <v>22909.090909090908</v>
      </c>
      <c r="J103" s="1">
        <v>17500</v>
      </c>
      <c r="K103" s="1">
        <v>15981.5</v>
      </c>
      <c r="L103" s="1">
        <v>16044</v>
      </c>
      <c r="M103" s="1">
        <v>13312.5</v>
      </c>
      <c r="N103" s="1">
        <v>21072.080000000002</v>
      </c>
      <c r="O103" s="1">
        <f t="shared" ref="O103:O113" si="37">(+N103+M103+L103+K103+I103)/5</f>
        <v>17863.834181818183</v>
      </c>
      <c r="P103" s="1" t="s">
        <v>246</v>
      </c>
    </row>
    <row r="104" spans="5:16" x14ac:dyDescent="0.45">
      <c r="G104" t="s">
        <v>134</v>
      </c>
      <c r="H104" s="6">
        <v>1200</v>
      </c>
      <c r="I104" s="1">
        <v>1172.5090909090909</v>
      </c>
      <c r="J104" s="1">
        <v>800</v>
      </c>
      <c r="K104" s="1">
        <v>844.59</v>
      </c>
      <c r="L104" s="1">
        <v>714.89</v>
      </c>
      <c r="M104" s="1">
        <v>0</v>
      </c>
      <c r="N104" s="1">
        <v>115.53</v>
      </c>
      <c r="O104" s="1">
        <f t="shared" si="37"/>
        <v>569.50381818181813</v>
      </c>
    </row>
    <row r="105" spans="5:16" x14ac:dyDescent="0.45">
      <c r="G105" t="s">
        <v>135</v>
      </c>
      <c r="H105" s="6">
        <f>H103*0.075</f>
        <v>1725</v>
      </c>
      <c r="I105" s="1">
        <v>1620.0109090909091</v>
      </c>
      <c r="J105" s="1">
        <v>1312.5</v>
      </c>
      <c r="K105" s="1">
        <v>4129.37</v>
      </c>
      <c r="L105" s="1">
        <v>1089.24</v>
      </c>
      <c r="M105" s="1">
        <v>0</v>
      </c>
      <c r="N105" s="1">
        <v>7.5</v>
      </c>
      <c r="O105" s="1">
        <f t="shared" si="37"/>
        <v>1369.2241818181817</v>
      </c>
    </row>
    <row r="106" spans="5:16" x14ac:dyDescent="0.45">
      <c r="G106" t="s">
        <v>84</v>
      </c>
      <c r="H106" s="6">
        <f>H103*0.0765</f>
        <v>1759.5</v>
      </c>
      <c r="I106" s="1">
        <v>1652.4</v>
      </c>
      <c r="J106" s="1">
        <v>1338.75</v>
      </c>
      <c r="K106" s="1">
        <v>1159.8599999999999</v>
      </c>
      <c r="L106" s="1">
        <v>1227.3599999999999</v>
      </c>
      <c r="M106" s="1">
        <v>1018.43</v>
      </c>
      <c r="N106" s="1">
        <v>814.91</v>
      </c>
      <c r="O106" s="1">
        <f t="shared" si="37"/>
        <v>1174.5919999999999</v>
      </c>
    </row>
    <row r="107" spans="5:16" x14ac:dyDescent="0.45">
      <c r="G107" t="s">
        <v>85</v>
      </c>
      <c r="H107" s="6">
        <v>10000</v>
      </c>
      <c r="J107" s="1">
        <v>0</v>
      </c>
      <c r="K107" s="1"/>
      <c r="L107" s="1"/>
      <c r="M107" s="1">
        <v>9942.8799999999992</v>
      </c>
      <c r="N107" s="1">
        <v>6268.29</v>
      </c>
      <c r="O107" s="1">
        <f t="shared" si="37"/>
        <v>3242.2339999999995</v>
      </c>
      <c r="P107" s="1" t="s">
        <v>244</v>
      </c>
    </row>
    <row r="108" spans="5:16" x14ac:dyDescent="0.45">
      <c r="F108" t="s">
        <v>86</v>
      </c>
      <c r="H108" s="6">
        <f>SUM(H103:H107)</f>
        <v>37684.5</v>
      </c>
      <c r="I108" s="1">
        <v>27354.010909090906</v>
      </c>
      <c r="J108" s="1">
        <v>20951.25</v>
      </c>
      <c r="K108" s="1">
        <f t="shared" ref="K108:L108" si="38">SUM(K103:K107)</f>
        <v>22115.32</v>
      </c>
      <c r="L108" s="1">
        <f t="shared" si="38"/>
        <v>19075.490000000002</v>
      </c>
      <c r="M108" s="1">
        <f t="shared" ref="M108" si="39">SUM(M103:M107)</f>
        <v>24273.809999999998</v>
      </c>
      <c r="N108" s="1">
        <f t="shared" ref="N108" si="40">SUM(N103:N107)</f>
        <v>28278.31</v>
      </c>
      <c r="O108" s="1">
        <f t="shared" si="37"/>
        <v>24219.38818181818</v>
      </c>
    </row>
    <row r="109" spans="5:16" x14ac:dyDescent="0.45">
      <c r="F109" t="s">
        <v>87</v>
      </c>
      <c r="H109" s="6">
        <v>1200</v>
      </c>
      <c r="I109" s="1">
        <v>1545.9272727272726</v>
      </c>
      <c r="J109" s="1">
        <v>1000</v>
      </c>
      <c r="K109" s="1">
        <v>1030.58</v>
      </c>
      <c r="L109" s="1">
        <v>824.68</v>
      </c>
      <c r="M109" s="1">
        <v>762.8</v>
      </c>
      <c r="N109" s="1">
        <v>156.78</v>
      </c>
      <c r="O109" s="1">
        <f t="shared" si="37"/>
        <v>864.15345454545445</v>
      </c>
      <c r="P109" s="1" t="s">
        <v>147</v>
      </c>
    </row>
    <row r="110" spans="5:16" x14ac:dyDescent="0.45">
      <c r="F110" t="s">
        <v>136</v>
      </c>
      <c r="H110" s="6">
        <v>0</v>
      </c>
      <c r="J110" s="1">
        <v>0</v>
      </c>
      <c r="K110" s="1"/>
      <c r="L110" s="1"/>
      <c r="M110" s="1">
        <v>0</v>
      </c>
      <c r="N110" s="1">
        <v>35</v>
      </c>
      <c r="O110" s="1">
        <f t="shared" si="37"/>
        <v>7</v>
      </c>
    </row>
    <row r="111" spans="5:16" x14ac:dyDescent="0.45">
      <c r="E111" t="s">
        <v>88</v>
      </c>
      <c r="H111" s="47">
        <f>H110+H109+H108</f>
        <v>38884.5</v>
      </c>
      <c r="I111" s="1">
        <v>28899.938181818179</v>
      </c>
      <c r="J111" s="1">
        <v>21951.25</v>
      </c>
      <c r="K111" s="1">
        <f t="shared" ref="K111:L111" si="41">K110+K109+K108</f>
        <v>23145.9</v>
      </c>
      <c r="L111" s="1">
        <f t="shared" si="41"/>
        <v>19900.170000000002</v>
      </c>
      <c r="M111" s="1">
        <f>ROUND(M101+SUM(M108:M110),5)</f>
        <v>25036.61</v>
      </c>
      <c r="N111" s="1">
        <f>ROUND(N101+SUM(N108:N110),5)</f>
        <v>28470.09</v>
      </c>
      <c r="O111" s="1">
        <f t="shared" si="37"/>
        <v>25090.541636363632</v>
      </c>
    </row>
    <row r="112" spans="5:16" x14ac:dyDescent="0.45">
      <c r="E112" t="s">
        <v>89</v>
      </c>
      <c r="H112" s="6">
        <v>0</v>
      </c>
      <c r="I112" s="1">
        <v>0</v>
      </c>
      <c r="J112" s="1">
        <v>0</v>
      </c>
      <c r="K112" s="1"/>
      <c r="L112" s="1"/>
      <c r="M112" s="1">
        <v>0</v>
      </c>
      <c r="N112" s="1">
        <v>0</v>
      </c>
      <c r="O112" s="1">
        <f t="shared" si="37"/>
        <v>0</v>
      </c>
    </row>
    <row r="113" spans="4:16" x14ac:dyDescent="0.45">
      <c r="D113" t="s">
        <v>90</v>
      </c>
      <c r="H113" s="42">
        <f>ROUND(H49+H86+SUM(H97:H100)+SUM(H111:H112),5)</f>
        <v>152380.5</v>
      </c>
      <c r="I113" s="1">
        <v>117923.69454545455</v>
      </c>
      <c r="J113" s="1">
        <v>138774.25</v>
      </c>
      <c r="K113" s="1">
        <f t="shared" ref="K113:L113" si="42">ROUND(K49+K86+SUM(K97:K98)+SUM(K111:K112),5)</f>
        <v>154770.9</v>
      </c>
      <c r="L113" s="1">
        <f t="shared" si="42"/>
        <v>137350.65</v>
      </c>
      <c r="M113" s="1">
        <f t="shared" ref="M113" si="43">ROUND(M49+M86+SUM(M97:M98)+SUM(M111:M112),5)</f>
        <v>181750.5</v>
      </c>
      <c r="N113" s="1">
        <f t="shared" ref="N113" si="44">ROUND(N49+N86+SUM(N97:N98)+SUM(N111:N112),5)</f>
        <v>130944.04</v>
      </c>
      <c r="O113" s="1">
        <f t="shared" si="37"/>
        <v>144547.95690909092</v>
      </c>
    </row>
    <row r="114" spans="4:16" x14ac:dyDescent="0.45">
      <c r="D114" s="2" t="s">
        <v>91</v>
      </c>
      <c r="H114" s="6"/>
      <c r="J114" s="1"/>
      <c r="K114" s="1"/>
      <c r="L114" s="1"/>
    </row>
    <row r="115" spans="4:16" x14ac:dyDescent="0.45">
      <c r="E115" t="s">
        <v>92</v>
      </c>
      <c r="H115" s="6"/>
      <c r="J115" s="1"/>
      <c r="K115" s="1"/>
      <c r="L115" s="1"/>
    </row>
    <row r="116" spans="4:16" x14ac:dyDescent="0.45">
      <c r="F116" t="s">
        <v>93</v>
      </c>
      <c r="H116" s="6">
        <v>87500</v>
      </c>
      <c r="I116" s="1">
        <v>86350</v>
      </c>
      <c r="J116" s="1">
        <v>87500</v>
      </c>
      <c r="K116" s="1">
        <v>85500</v>
      </c>
      <c r="L116" s="1">
        <v>85500</v>
      </c>
      <c r="M116" s="1">
        <v>83500</v>
      </c>
      <c r="N116" s="1">
        <v>81000</v>
      </c>
      <c r="O116" s="1">
        <f t="shared" ref="O116:O121" si="45">(+N116+M116+L116+K116+I116)/5</f>
        <v>84370</v>
      </c>
    </row>
    <row r="117" spans="4:16" x14ac:dyDescent="0.45">
      <c r="F117" t="s">
        <v>94</v>
      </c>
      <c r="H117" s="6">
        <v>150</v>
      </c>
      <c r="I117" s="1">
        <v>229.30909090909091</v>
      </c>
      <c r="J117" s="1">
        <v>150</v>
      </c>
      <c r="K117" s="1">
        <v>149.38</v>
      </c>
      <c r="L117" s="1">
        <v>148.37</v>
      </c>
      <c r="M117" s="1">
        <v>206</v>
      </c>
      <c r="N117" s="1">
        <v>80</v>
      </c>
      <c r="O117" s="1">
        <f t="shared" si="45"/>
        <v>162.61181818181817</v>
      </c>
    </row>
    <row r="118" spans="4:16" x14ac:dyDescent="0.45">
      <c r="E118" t="s">
        <v>95</v>
      </c>
      <c r="H118" s="6">
        <f>SUM(H116:H117)</f>
        <v>87650</v>
      </c>
      <c r="I118" s="1">
        <f>SUM(I116:I117)</f>
        <v>86579.309090909097</v>
      </c>
      <c r="J118" s="1">
        <v>87650</v>
      </c>
      <c r="K118" s="1">
        <f t="shared" ref="K118:L118" si="46">SUM(K116:K117)</f>
        <v>85649.38</v>
      </c>
      <c r="L118" s="1">
        <f t="shared" si="46"/>
        <v>85648.37</v>
      </c>
      <c r="M118" s="1">
        <f>ROUND(SUM(M115:M117),5)</f>
        <v>83706</v>
      </c>
      <c r="N118" s="1">
        <f>ROUND(SUM(N115:N117),5)</f>
        <v>81080</v>
      </c>
      <c r="O118" s="1">
        <f t="shared" si="45"/>
        <v>84532.611818181816</v>
      </c>
    </row>
    <row r="119" spans="4:16" x14ac:dyDescent="0.45">
      <c r="E119" t="s">
        <v>96</v>
      </c>
      <c r="H119" s="6">
        <v>1500</v>
      </c>
      <c r="I119" s="1">
        <v>213.63272727272729</v>
      </c>
      <c r="J119" s="1">
        <v>1000</v>
      </c>
      <c r="K119" s="1">
        <v>2254.23</v>
      </c>
      <c r="L119" s="1">
        <v>95.48</v>
      </c>
      <c r="M119" s="1">
        <v>115.69</v>
      </c>
      <c r="N119" s="1">
        <v>132.81</v>
      </c>
      <c r="O119" s="1">
        <f t="shared" si="45"/>
        <v>562.36854545454548</v>
      </c>
      <c r="P119" s="1" t="s">
        <v>238</v>
      </c>
    </row>
    <row r="120" spans="4:16" x14ac:dyDescent="0.45">
      <c r="E120" t="s">
        <v>97</v>
      </c>
      <c r="H120" s="6">
        <v>1000</v>
      </c>
      <c r="I120" s="1">
        <v>981.81818181818176</v>
      </c>
      <c r="J120" s="1">
        <v>200</v>
      </c>
      <c r="K120" s="1">
        <v>0</v>
      </c>
      <c r="L120" s="1">
        <v>180</v>
      </c>
      <c r="M120" s="1">
        <v>1650</v>
      </c>
      <c r="N120" s="1">
        <v>1100</v>
      </c>
      <c r="O120" s="1">
        <f t="shared" si="45"/>
        <v>782.36363636363637</v>
      </c>
    </row>
    <row r="121" spans="4:16" x14ac:dyDescent="0.45">
      <c r="D121" t="s">
        <v>98</v>
      </c>
      <c r="H121" s="47">
        <f>H120+H119+H118</f>
        <v>90150</v>
      </c>
      <c r="I121" s="1">
        <f>I120+I119+I118</f>
        <v>87774.760000000009</v>
      </c>
      <c r="J121" s="1">
        <v>88850</v>
      </c>
      <c r="K121" s="1">
        <f t="shared" ref="K121:L121" si="47">K120+K119+K118</f>
        <v>87903.61</v>
      </c>
      <c r="L121" s="1">
        <f t="shared" si="47"/>
        <v>85923.849999999991</v>
      </c>
      <c r="M121" s="1">
        <f>ROUND(M114+SUM(M118:M120),5)</f>
        <v>85471.69</v>
      </c>
      <c r="N121" s="1">
        <f>ROUND(N114+SUM(N118:N120),5)</f>
        <v>82312.81</v>
      </c>
      <c r="O121" s="1">
        <f t="shared" si="45"/>
        <v>85877.343999999997</v>
      </c>
    </row>
    <row r="122" spans="4:16" x14ac:dyDescent="0.45">
      <c r="D122" s="2" t="s">
        <v>99</v>
      </c>
      <c r="H122" s="6"/>
      <c r="J122" s="1"/>
      <c r="K122" s="1"/>
      <c r="L122" s="1"/>
    </row>
    <row r="123" spans="4:16" x14ac:dyDescent="0.45">
      <c r="E123" t="s">
        <v>100</v>
      </c>
      <c r="H123" s="6"/>
      <c r="J123" s="1"/>
      <c r="K123" s="1"/>
      <c r="L123" s="1"/>
    </row>
    <row r="124" spans="4:16" x14ac:dyDescent="0.45">
      <c r="F124" t="s">
        <v>137</v>
      </c>
      <c r="H124" s="6">
        <v>400</v>
      </c>
      <c r="I124" s="1">
        <v>234.58909090909088</v>
      </c>
      <c r="J124" s="1">
        <v>400</v>
      </c>
      <c r="K124" s="1">
        <v>308.63</v>
      </c>
      <c r="L124" s="1">
        <v>1207.42</v>
      </c>
      <c r="M124" s="1">
        <v>0</v>
      </c>
      <c r="N124" s="1">
        <v>135.47</v>
      </c>
      <c r="O124" s="1">
        <f t="shared" ref="O124:O137" si="48">(+N124+M124+L124+K124+I124)/5</f>
        <v>377.22181818181815</v>
      </c>
    </row>
    <row r="125" spans="4:16" x14ac:dyDescent="0.45">
      <c r="F125" t="s">
        <v>138</v>
      </c>
      <c r="H125" s="6">
        <v>100</v>
      </c>
      <c r="I125" s="1">
        <v>48.480000000000004</v>
      </c>
      <c r="J125" s="1">
        <v>100</v>
      </c>
      <c r="K125" s="1">
        <v>66.680000000000007</v>
      </c>
      <c r="L125" s="1">
        <v>0</v>
      </c>
      <c r="M125" s="1">
        <v>0</v>
      </c>
      <c r="N125" s="1">
        <v>27.17</v>
      </c>
      <c r="O125" s="1">
        <f t="shared" si="48"/>
        <v>28.466000000000001</v>
      </c>
    </row>
    <row r="126" spans="4:16" x14ac:dyDescent="0.45">
      <c r="F126" t="s">
        <v>101</v>
      </c>
      <c r="H126" s="6">
        <v>16000</v>
      </c>
      <c r="I126" s="1">
        <v>9162.0763636363627</v>
      </c>
      <c r="J126" s="1">
        <v>16000</v>
      </c>
      <c r="K126" s="1">
        <v>13516.59</v>
      </c>
      <c r="L126" s="1">
        <v>15218.17</v>
      </c>
      <c r="M126" s="1">
        <v>17712.84</v>
      </c>
      <c r="N126" s="1">
        <v>5905.72</v>
      </c>
      <c r="O126" s="1">
        <f t="shared" si="48"/>
        <v>12303.079272727275</v>
      </c>
    </row>
    <row r="127" spans="4:16" x14ac:dyDescent="0.45">
      <c r="F127" t="s">
        <v>102</v>
      </c>
      <c r="H127" s="6">
        <v>1500</v>
      </c>
      <c r="I127" s="1">
        <v>0</v>
      </c>
      <c r="J127" s="1">
        <v>1500</v>
      </c>
      <c r="K127" s="1">
        <v>1575.72</v>
      </c>
      <c r="L127" s="1">
        <v>688.82</v>
      </c>
      <c r="M127" s="1">
        <v>718.84</v>
      </c>
      <c r="N127" s="1">
        <v>0</v>
      </c>
      <c r="O127" s="1">
        <f t="shared" si="48"/>
        <v>596.67600000000004</v>
      </c>
    </row>
    <row r="128" spans="4:16" x14ac:dyDescent="0.45">
      <c r="F128" t="s">
        <v>103</v>
      </c>
      <c r="H128" s="6">
        <v>1500</v>
      </c>
      <c r="I128" s="1">
        <v>339.43636363636364</v>
      </c>
      <c r="J128" s="1">
        <v>1500</v>
      </c>
      <c r="K128" s="1">
        <v>2180.33</v>
      </c>
      <c r="L128" s="1">
        <v>1747.62</v>
      </c>
      <c r="M128" s="1">
        <v>831.25</v>
      </c>
      <c r="N128" s="1">
        <v>309.76</v>
      </c>
      <c r="O128" s="1">
        <f t="shared" si="48"/>
        <v>1081.6792727272727</v>
      </c>
    </row>
    <row r="129" spans="6:16" x14ac:dyDescent="0.45">
      <c r="F129" t="s">
        <v>104</v>
      </c>
      <c r="H129" s="6">
        <v>7000</v>
      </c>
      <c r="I129" s="1">
        <v>7393.9090909090901</v>
      </c>
      <c r="J129" s="1">
        <v>7000</v>
      </c>
      <c r="K129" s="1">
        <v>7060.71</v>
      </c>
      <c r="L129" s="1">
        <v>4972.74</v>
      </c>
      <c r="M129" s="1">
        <v>15639.79</v>
      </c>
      <c r="N129" s="1">
        <v>5877.27</v>
      </c>
      <c r="O129" s="1">
        <f t="shared" si="48"/>
        <v>8188.8838181818182</v>
      </c>
    </row>
    <row r="130" spans="6:16" x14ac:dyDescent="0.45">
      <c r="F130" t="s">
        <v>139</v>
      </c>
      <c r="H130" s="6">
        <v>1000</v>
      </c>
      <c r="I130" s="1">
        <v>571.11272727272728</v>
      </c>
      <c r="J130" s="1">
        <v>1000</v>
      </c>
      <c r="K130" s="1">
        <v>1171.32</v>
      </c>
      <c r="L130" s="1">
        <v>2057.9</v>
      </c>
      <c r="M130" s="1">
        <v>1766</v>
      </c>
      <c r="N130" s="1">
        <v>1608.74</v>
      </c>
      <c r="O130" s="1">
        <f t="shared" si="48"/>
        <v>1435.0145454545452</v>
      </c>
    </row>
    <row r="131" spans="6:16" x14ac:dyDescent="0.45">
      <c r="F131" t="s">
        <v>105</v>
      </c>
      <c r="H131" s="6">
        <v>25000</v>
      </c>
      <c r="I131" s="1">
        <v>21161.956363636364</v>
      </c>
      <c r="J131" s="1">
        <v>25000</v>
      </c>
      <c r="K131" s="1">
        <v>87601.53</v>
      </c>
      <c r="L131" s="1">
        <v>32802.49</v>
      </c>
      <c r="M131" s="1">
        <v>63192.72</v>
      </c>
      <c r="N131" s="1">
        <v>108198.17</v>
      </c>
      <c r="O131" s="1">
        <f t="shared" si="48"/>
        <v>62591.37327272728</v>
      </c>
      <c r="P131" s="1" t="s">
        <v>150</v>
      </c>
    </row>
    <row r="132" spans="6:16" x14ac:dyDescent="0.45">
      <c r="F132" t="s">
        <v>106</v>
      </c>
      <c r="H132" s="6">
        <v>1500</v>
      </c>
      <c r="I132" s="1">
        <v>1027.5381818181818</v>
      </c>
      <c r="J132" s="1">
        <v>1500</v>
      </c>
      <c r="K132" s="1">
        <v>1277.5999999999999</v>
      </c>
      <c r="L132" s="1">
        <v>5998.92</v>
      </c>
      <c r="M132" s="1">
        <v>1665.37</v>
      </c>
      <c r="N132" s="1">
        <v>694.75</v>
      </c>
      <c r="O132" s="1">
        <f t="shared" si="48"/>
        <v>2132.8356363636367</v>
      </c>
    </row>
    <row r="133" spans="6:16" x14ac:dyDescent="0.45">
      <c r="F133" t="s">
        <v>107</v>
      </c>
      <c r="H133" s="6">
        <v>40000</v>
      </c>
      <c r="I133" s="1">
        <v>8870.454545454546</v>
      </c>
      <c r="J133" s="1">
        <v>49500</v>
      </c>
      <c r="K133" s="1">
        <v>29724.36</v>
      </c>
      <c r="L133" s="1">
        <v>88520.43</v>
      </c>
      <c r="M133" s="1">
        <v>37257.040000000001</v>
      </c>
      <c r="N133" s="1">
        <v>34677.56</v>
      </c>
      <c r="O133" s="1">
        <f t="shared" si="48"/>
        <v>39809.968909090916</v>
      </c>
      <c r="P133" s="1" t="s">
        <v>234</v>
      </c>
    </row>
    <row r="134" spans="6:16" x14ac:dyDescent="0.45">
      <c r="F134" t="s">
        <v>108</v>
      </c>
      <c r="H134" s="6">
        <v>60</v>
      </c>
      <c r="I134" s="1">
        <v>0</v>
      </c>
      <c r="J134" s="1">
        <v>60</v>
      </c>
      <c r="K134" s="1">
        <v>57.75</v>
      </c>
      <c r="L134" s="1">
        <v>200</v>
      </c>
      <c r="M134" s="1">
        <v>48</v>
      </c>
      <c r="N134" s="1">
        <v>-16</v>
      </c>
      <c r="O134" s="1">
        <f t="shared" si="48"/>
        <v>57.95</v>
      </c>
    </row>
    <row r="135" spans="6:16" x14ac:dyDescent="0.45">
      <c r="F135" t="s">
        <v>109</v>
      </c>
      <c r="H135" s="6">
        <v>1500</v>
      </c>
      <c r="I135" s="1">
        <v>1520.7272727272727</v>
      </c>
      <c r="J135" s="1">
        <v>1500</v>
      </c>
      <c r="K135" s="1">
        <v>1309</v>
      </c>
      <c r="L135" s="1">
        <v>1324</v>
      </c>
      <c r="M135" s="1">
        <v>1249</v>
      </c>
      <c r="N135" s="1">
        <v>1768</v>
      </c>
      <c r="O135" s="1">
        <f t="shared" si="48"/>
        <v>1434.1454545454546</v>
      </c>
    </row>
    <row r="136" spans="6:16" x14ac:dyDescent="0.45">
      <c r="F136" t="s">
        <v>110</v>
      </c>
      <c r="G136" s="21"/>
      <c r="H136" s="6">
        <v>30000</v>
      </c>
      <c r="I136" s="1">
        <v>38522.138181818184</v>
      </c>
      <c r="J136" s="1">
        <v>10000</v>
      </c>
      <c r="K136" s="1">
        <v>9505.9699999999993</v>
      </c>
      <c r="L136" s="1">
        <v>11317.65</v>
      </c>
      <c r="M136" s="1">
        <v>14350.97</v>
      </c>
      <c r="N136" s="1">
        <v>18274.75</v>
      </c>
      <c r="O136" s="1">
        <f t="shared" si="48"/>
        <v>18394.295636363637</v>
      </c>
    </row>
    <row r="137" spans="6:16" x14ac:dyDescent="0.45">
      <c r="F137" t="s">
        <v>111</v>
      </c>
      <c r="H137" s="6">
        <v>10000</v>
      </c>
      <c r="I137" s="1">
        <v>8532.5781818181822</v>
      </c>
      <c r="J137" s="1">
        <v>10000</v>
      </c>
      <c r="K137" s="1">
        <v>8292.85</v>
      </c>
      <c r="L137" s="1">
        <v>11948.83</v>
      </c>
      <c r="M137" s="1">
        <v>24508.52</v>
      </c>
      <c r="N137" s="1">
        <v>1502.5</v>
      </c>
      <c r="O137" s="1">
        <f t="shared" si="48"/>
        <v>10957.055636363637</v>
      </c>
    </row>
    <row r="138" spans="6:16" x14ac:dyDescent="0.45">
      <c r="F138" t="s">
        <v>112</v>
      </c>
      <c r="H138" s="6"/>
      <c r="J138" s="1"/>
      <c r="K138" s="1"/>
      <c r="L138" s="1"/>
    </row>
    <row r="139" spans="6:16" x14ac:dyDescent="0.45">
      <c r="G139" t="s">
        <v>113</v>
      </c>
      <c r="H139" s="6">
        <v>60000</v>
      </c>
      <c r="I139" s="1">
        <v>57910.843636363643</v>
      </c>
      <c r="J139" s="1">
        <v>80000</v>
      </c>
      <c r="K139" s="1">
        <v>73029.39</v>
      </c>
      <c r="L139" s="1">
        <v>81221.03</v>
      </c>
      <c r="M139" s="1">
        <v>70768.3</v>
      </c>
      <c r="N139" s="1">
        <v>48724.29</v>
      </c>
      <c r="O139" s="1">
        <f>(+N139+M139+L139+K139+I139)/5</f>
        <v>66330.770727272728</v>
      </c>
    </row>
    <row r="140" spans="6:16" x14ac:dyDescent="0.45">
      <c r="G140" t="s">
        <v>227</v>
      </c>
      <c r="H140" s="6">
        <v>0</v>
      </c>
      <c r="J140" s="1"/>
      <c r="K140" s="1"/>
      <c r="L140" s="1"/>
    </row>
    <row r="141" spans="6:16" x14ac:dyDescent="0.45">
      <c r="G141" t="s">
        <v>144</v>
      </c>
      <c r="H141" s="6">
        <v>0</v>
      </c>
      <c r="K141" s="1"/>
      <c r="L141" s="1"/>
      <c r="O141" s="1">
        <f t="shared" ref="O141" si="49">(+N141+M141+L141+K141)/4</f>
        <v>0</v>
      </c>
    </row>
    <row r="142" spans="6:16" x14ac:dyDescent="0.45">
      <c r="G142" t="s">
        <v>212</v>
      </c>
      <c r="H142" s="6">
        <v>1350</v>
      </c>
      <c r="I142" s="1">
        <v>933.5454545454545</v>
      </c>
      <c r="J142" s="1">
        <v>1800</v>
      </c>
      <c r="K142" s="1">
        <v>1624.75</v>
      </c>
      <c r="L142" s="1">
        <v>0</v>
      </c>
      <c r="O142" s="1">
        <f t="shared" ref="O142:O153" si="50">(+N142+M142+L142+K142+I142)/5</f>
        <v>511.65909090909088</v>
      </c>
    </row>
    <row r="143" spans="6:16" x14ac:dyDescent="0.45">
      <c r="G143" t="s">
        <v>114</v>
      </c>
      <c r="H143" s="6">
        <f>H139*0.075</f>
        <v>4500</v>
      </c>
      <c r="I143" s="1">
        <v>4343.3018181818179</v>
      </c>
      <c r="J143" s="1">
        <v>6000</v>
      </c>
      <c r="K143" s="1">
        <v>6605.25</v>
      </c>
      <c r="L143" s="1">
        <v>5415.72</v>
      </c>
      <c r="M143" s="1">
        <v>4342.5</v>
      </c>
      <c r="N143" s="1">
        <v>3544.88</v>
      </c>
      <c r="O143" s="1">
        <f t="shared" si="50"/>
        <v>4850.3303636363635</v>
      </c>
    </row>
    <row r="144" spans="6:16" x14ac:dyDescent="0.45">
      <c r="G144" t="s">
        <v>115</v>
      </c>
      <c r="H144" s="6">
        <f>H139*0.0765</f>
        <v>4590</v>
      </c>
      <c r="I144" s="1">
        <v>4258.778181818182</v>
      </c>
      <c r="J144" s="1">
        <v>6120</v>
      </c>
      <c r="K144" s="1">
        <v>5379.24</v>
      </c>
      <c r="L144" s="1">
        <v>5987.53</v>
      </c>
      <c r="M144" s="1">
        <v>5298.78</v>
      </c>
      <c r="N144" s="1">
        <v>3641.16</v>
      </c>
      <c r="O144" s="1">
        <f t="shared" si="50"/>
        <v>4913.0976363636364</v>
      </c>
    </row>
    <row r="145" spans="4:15" x14ac:dyDescent="0.45">
      <c r="G145" t="s">
        <v>226</v>
      </c>
      <c r="H145" s="6">
        <v>2300</v>
      </c>
      <c r="I145" s="1">
        <v>2240.5090909090909</v>
      </c>
      <c r="J145" s="1">
        <v>3000</v>
      </c>
      <c r="K145" s="1">
        <v>2712.6</v>
      </c>
      <c r="L145" s="1">
        <v>2952.6</v>
      </c>
      <c r="M145" s="1">
        <v>1503</v>
      </c>
      <c r="N145" s="1">
        <v>899.4</v>
      </c>
      <c r="O145" s="1">
        <f t="shared" si="50"/>
        <v>2061.6218181818181</v>
      </c>
    </row>
    <row r="146" spans="4:15" x14ac:dyDescent="0.45">
      <c r="G146" t="s">
        <v>116</v>
      </c>
      <c r="H146" s="6">
        <f>(925*3*3)+(975*3*9)</f>
        <v>34650</v>
      </c>
      <c r="I146" s="1">
        <v>33103.63636363636</v>
      </c>
      <c r="J146" s="1">
        <v>33300</v>
      </c>
      <c r="K146" s="1">
        <v>31065</v>
      </c>
      <c r="L146" s="1">
        <v>30240</v>
      </c>
      <c r="M146" s="1">
        <v>15658</v>
      </c>
      <c r="N146" s="1">
        <v>9705.09</v>
      </c>
      <c r="O146" s="1">
        <f t="shared" si="50"/>
        <v>23954.345272727271</v>
      </c>
    </row>
    <row r="147" spans="4:15" x14ac:dyDescent="0.45">
      <c r="G147" t="s">
        <v>117</v>
      </c>
      <c r="H147" s="6">
        <v>1000</v>
      </c>
      <c r="I147" s="1">
        <v>0</v>
      </c>
      <c r="J147" s="1">
        <v>1000</v>
      </c>
      <c r="K147" s="1">
        <v>168.79</v>
      </c>
      <c r="L147" s="1">
        <v>363.99</v>
      </c>
      <c r="M147" s="1">
        <v>5870</v>
      </c>
      <c r="N147" s="1">
        <v>140648.57999999999</v>
      </c>
      <c r="O147" s="1">
        <f t="shared" si="50"/>
        <v>29410.271999999997</v>
      </c>
    </row>
    <row r="148" spans="4:15" x14ac:dyDescent="0.45">
      <c r="F148" t="s">
        <v>118</v>
      </c>
      <c r="H148" s="6">
        <f>SUM(H139:H147)</f>
        <v>108390</v>
      </c>
      <c r="I148" s="1">
        <v>102790.61454545453</v>
      </c>
      <c r="J148" s="1">
        <v>131220</v>
      </c>
      <c r="K148" s="1">
        <f t="shared" ref="K148:L148" si="51">SUM(K139:K147)</f>
        <v>120585.02</v>
      </c>
      <c r="L148" s="1">
        <f t="shared" si="51"/>
        <v>126180.87000000001</v>
      </c>
      <c r="M148" s="1">
        <f t="shared" ref="M148" si="52">SUM(M139:M147)</f>
        <v>103440.58</v>
      </c>
      <c r="N148" s="1">
        <f t="shared" ref="N148" si="53">SUM(N139:N147)</f>
        <v>207163.4</v>
      </c>
      <c r="O148" s="1">
        <f t="shared" si="50"/>
        <v>132032.09690909091</v>
      </c>
    </row>
    <row r="149" spans="4:15" x14ac:dyDescent="0.45">
      <c r="F149" t="s">
        <v>119</v>
      </c>
      <c r="H149" s="6">
        <v>25000</v>
      </c>
      <c r="I149" s="1">
        <v>0</v>
      </c>
      <c r="J149" s="1">
        <v>25000</v>
      </c>
      <c r="K149" s="1">
        <v>75</v>
      </c>
      <c r="L149" s="1">
        <v>1744.01</v>
      </c>
      <c r="M149" s="1">
        <v>10233.26</v>
      </c>
      <c r="N149" s="1">
        <v>8122.57</v>
      </c>
      <c r="O149" s="1">
        <f t="shared" si="50"/>
        <v>4034.9679999999998</v>
      </c>
    </row>
    <row r="150" spans="4:15" x14ac:dyDescent="0.45">
      <c r="F150" t="s">
        <v>120</v>
      </c>
      <c r="H150" s="6">
        <v>246000</v>
      </c>
      <c r="I150" s="1">
        <f>540117.021818182+43500</f>
        <v>583617.02181818197</v>
      </c>
      <c r="J150" s="1">
        <v>579089.80000000005</v>
      </c>
      <c r="K150" s="1">
        <v>406983</v>
      </c>
      <c r="L150" s="1">
        <v>362735.33</v>
      </c>
      <c r="M150" s="1">
        <v>778178.26</v>
      </c>
      <c r="N150" s="1">
        <v>0</v>
      </c>
      <c r="O150" s="1">
        <f t="shared" si="50"/>
        <v>426302.72236363648</v>
      </c>
    </row>
    <row r="151" spans="4:15" x14ac:dyDescent="0.45">
      <c r="E151" t="s">
        <v>121</v>
      </c>
      <c r="H151" s="6">
        <f>ROUND(SUM(H123:H137)+SUM(H148:H150),5)</f>
        <v>514950</v>
      </c>
      <c r="I151" s="1">
        <v>740292.63272727269</v>
      </c>
      <c r="J151" s="1">
        <v>860369.8</v>
      </c>
      <c r="K151" s="1">
        <f t="shared" ref="K151:L151" si="54">ROUND(SUM(K123:K137)+SUM(K148:K150),5)</f>
        <v>691292.06</v>
      </c>
      <c r="L151" s="1">
        <f t="shared" si="54"/>
        <v>668665.19999999995</v>
      </c>
      <c r="M151" s="1">
        <f t="shared" ref="M151" si="55">ROUND(SUM(M123:M137)+SUM(M148:M150),5)</f>
        <v>1070792.44</v>
      </c>
      <c r="N151" s="1">
        <f t="shared" ref="N151" si="56">ROUND(SUM(N123:N137)+SUM(N148:N150),5)</f>
        <v>394249.83</v>
      </c>
      <c r="O151" s="1">
        <f t="shared" si="50"/>
        <v>713058.43254545447</v>
      </c>
    </row>
    <row r="152" spans="4:15" x14ac:dyDescent="0.45">
      <c r="E152" t="s">
        <v>122</v>
      </c>
      <c r="H152" s="6">
        <v>180</v>
      </c>
      <c r="I152" s="1">
        <v>178.69090909090912</v>
      </c>
      <c r="J152" s="1">
        <v>180</v>
      </c>
      <c r="K152" s="1">
        <v>182.52</v>
      </c>
      <c r="L152" s="1">
        <v>182.52</v>
      </c>
      <c r="M152" s="1">
        <v>182.52</v>
      </c>
      <c r="N152" s="1">
        <v>183.08</v>
      </c>
      <c r="O152" s="1">
        <f t="shared" si="50"/>
        <v>181.86618181818181</v>
      </c>
    </row>
    <row r="153" spans="4:15" x14ac:dyDescent="0.45">
      <c r="D153" t="s">
        <v>123</v>
      </c>
      <c r="H153" s="42">
        <f>ROUND(H122+SUM(H151:H152),5)</f>
        <v>515130</v>
      </c>
      <c r="I153" s="3">
        <v>740471.32363636361</v>
      </c>
      <c r="J153" s="1">
        <v>860549.8</v>
      </c>
      <c r="K153" s="1">
        <f t="shared" ref="K153:L153" si="57">ROUND(K122+SUM(K151:K152),5)</f>
        <v>691474.58</v>
      </c>
      <c r="L153" s="1">
        <f t="shared" si="57"/>
        <v>668847.72</v>
      </c>
      <c r="M153" s="1">
        <f t="shared" ref="M153" si="58">ROUND(M122+SUM(M151:M152),5)</f>
        <v>1070974.96</v>
      </c>
      <c r="N153" s="1">
        <f t="shared" ref="N153" si="59">ROUND(N122+SUM(N151:N152),5)</f>
        <v>394432.91</v>
      </c>
      <c r="O153" s="1">
        <f t="shared" si="50"/>
        <v>713240.29872727278</v>
      </c>
    </row>
    <row r="154" spans="4:15" x14ac:dyDescent="0.45">
      <c r="D154" s="2" t="s">
        <v>140</v>
      </c>
      <c r="H154" s="6"/>
      <c r="J154" s="1"/>
    </row>
    <row r="155" spans="4:15" x14ac:dyDescent="0.45">
      <c r="E155" t="s">
        <v>141</v>
      </c>
      <c r="H155" s="6"/>
      <c r="M155" s="1">
        <v>0</v>
      </c>
      <c r="N155" s="1">
        <v>1900</v>
      </c>
      <c r="O155" s="1">
        <f t="shared" ref="O155:O162" si="60">(+N155+M155+L155+K155+I155)/5</f>
        <v>380</v>
      </c>
    </row>
    <row r="156" spans="4:15" x14ac:dyDescent="0.45">
      <c r="D156" t="s">
        <v>142</v>
      </c>
      <c r="H156" s="6"/>
      <c r="M156" s="1">
        <f>ROUND(SUM(M154:M155),5)</f>
        <v>0</v>
      </c>
      <c r="N156" s="1">
        <f>ROUND(SUM(N154:N155),5)</f>
        <v>1900</v>
      </c>
      <c r="O156" s="1">
        <f t="shared" si="60"/>
        <v>380</v>
      </c>
    </row>
    <row r="157" spans="4:15" x14ac:dyDescent="0.45">
      <c r="D157" s="2" t="s">
        <v>124</v>
      </c>
      <c r="H157" s="6"/>
      <c r="K157" s="1"/>
      <c r="L157" s="1">
        <v>49952.47</v>
      </c>
      <c r="M157" s="1">
        <v>47000</v>
      </c>
      <c r="N157" s="1">
        <v>50417.75</v>
      </c>
      <c r="O157" s="1">
        <f t="shared" si="60"/>
        <v>29474.044000000002</v>
      </c>
    </row>
    <row r="158" spans="4:15" x14ac:dyDescent="0.45">
      <c r="E158" t="s">
        <v>125</v>
      </c>
      <c r="H158" s="6"/>
      <c r="J158" s="1"/>
      <c r="K158" s="1"/>
      <c r="L158" s="1">
        <v>1133.9100000000001</v>
      </c>
      <c r="M158" s="1">
        <v>3210.92</v>
      </c>
      <c r="N158" s="1">
        <v>0</v>
      </c>
      <c r="O158" s="1">
        <f t="shared" si="60"/>
        <v>868.96600000000001</v>
      </c>
    </row>
    <row r="159" spans="4:15" x14ac:dyDescent="0.45">
      <c r="D159" t="s">
        <v>126</v>
      </c>
      <c r="H159" s="6"/>
      <c r="J159" s="1"/>
      <c r="K159" s="1"/>
      <c r="L159" s="1">
        <f>ROUND(SUM(L157:L158),5)</f>
        <v>51086.38</v>
      </c>
      <c r="M159" s="1">
        <f>ROUND(SUM(M157:M158),5)</f>
        <v>50210.92</v>
      </c>
      <c r="N159" s="1">
        <f>ROUND(SUM(N157:N158),5)</f>
        <v>50417.75</v>
      </c>
      <c r="O159" s="1">
        <f t="shared" si="60"/>
        <v>30343.01</v>
      </c>
    </row>
    <row r="160" spans="4:15" x14ac:dyDescent="0.45">
      <c r="H160" s="6"/>
      <c r="J160" s="1"/>
      <c r="K160" s="1"/>
      <c r="L160" s="1"/>
    </row>
    <row r="161" spans="2:15" x14ac:dyDescent="0.45">
      <c r="C161" s="2" t="s">
        <v>127</v>
      </c>
      <c r="H161" s="7">
        <f>ROUND(H113+H121+H153+H157+SUM(H159:H159)+H160,5)</f>
        <v>757660.5</v>
      </c>
      <c r="I161" s="1">
        <v>934149.09</v>
      </c>
      <c r="J161" s="1">
        <v>1088174.05</v>
      </c>
      <c r="K161" s="1">
        <f>ROUND(K113+K121+K153+K157+SUM(K159:K159)+K160,5)</f>
        <v>934149.09</v>
      </c>
      <c r="L161" s="1">
        <f>ROUND(L113+L121+L153+L157+SUM(L159:L159)+L160,5)</f>
        <v>993161.07</v>
      </c>
      <c r="M161" s="1">
        <f>ROUND(M113+M121+M153+M157+SUM(M159:M159)+M160,5)</f>
        <v>1435408.07</v>
      </c>
      <c r="N161" s="1">
        <f>ROUND(N113+N121+N153+N157+SUM(N159:N159)+N160,5)</f>
        <v>708525.26</v>
      </c>
      <c r="O161" s="1">
        <f t="shared" si="60"/>
        <v>1001078.5160000001</v>
      </c>
    </row>
    <row r="162" spans="2:15" x14ac:dyDescent="0.45">
      <c r="B162" s="2" t="s">
        <v>162</v>
      </c>
      <c r="H162" s="6">
        <f>ROUND(H7+H38-H161,5)</f>
        <v>-186860.5</v>
      </c>
      <c r="I162" s="1">
        <v>-389403.51</v>
      </c>
      <c r="J162" s="1">
        <v>-614874.05000000005</v>
      </c>
      <c r="K162" s="1">
        <f>ROUND(K7+K38-K161,5)</f>
        <v>-389403.51</v>
      </c>
      <c r="L162" s="1">
        <f>ROUND(L7+L38-L161,5)</f>
        <v>-477780.29</v>
      </c>
      <c r="M162" s="1">
        <f>ROUND(M7+M38-M161,5)</f>
        <v>-547056.56000000006</v>
      </c>
      <c r="N162" s="1">
        <f>ROUND(N7+N38-N161,5)</f>
        <v>140513.89000000001</v>
      </c>
      <c r="O162" s="1">
        <f t="shared" si="60"/>
        <v>-332625.99599999998</v>
      </c>
    </row>
    <row r="163" spans="2:15" x14ac:dyDescent="0.45">
      <c r="H163" s="6"/>
      <c r="J163" s="1"/>
      <c r="K163" s="1"/>
      <c r="L163" s="1">
        <v>0</v>
      </c>
    </row>
    <row r="164" spans="2:15" x14ac:dyDescent="0.45">
      <c r="F164" s="2" t="s">
        <v>158</v>
      </c>
      <c r="H164" s="6"/>
      <c r="J164" s="1"/>
      <c r="K164" s="1"/>
      <c r="L164" s="1"/>
    </row>
    <row r="165" spans="2:15" x14ac:dyDescent="0.45">
      <c r="F165" s="2"/>
      <c r="H165" s="6"/>
      <c r="J165" s="45"/>
      <c r="K165" s="1"/>
      <c r="L165" s="1"/>
    </row>
    <row r="166" spans="2:15" x14ac:dyDescent="0.45">
      <c r="G166" t="s">
        <v>159</v>
      </c>
      <c r="H166" s="6">
        <f>H11</f>
        <v>407500</v>
      </c>
      <c r="I166" s="1">
        <f>I11</f>
        <v>407993.96</v>
      </c>
      <c r="J166" s="1">
        <v>405000</v>
      </c>
      <c r="K166" s="1"/>
      <c r="L166" s="1"/>
    </row>
    <row r="167" spans="2:15" x14ac:dyDescent="0.45">
      <c r="G167" t="s">
        <v>160</v>
      </c>
      <c r="H167" s="6">
        <f>H38-H11</f>
        <v>163300</v>
      </c>
      <c r="I167" s="1">
        <f>I38-I11</f>
        <v>193162.89999999997</v>
      </c>
      <c r="J167" s="1">
        <v>68300</v>
      </c>
      <c r="K167" s="1"/>
      <c r="L167" s="1"/>
    </row>
    <row r="168" spans="2:15" x14ac:dyDescent="0.45">
      <c r="H168" s="6"/>
      <c r="J168" s="1"/>
      <c r="K168" s="1"/>
      <c r="L168" s="1"/>
    </row>
    <row r="169" spans="2:15" x14ac:dyDescent="0.45">
      <c r="G169" t="s">
        <v>218</v>
      </c>
      <c r="H169" s="6">
        <f>H131+H133+H137+H149+H150</f>
        <v>346000</v>
      </c>
      <c r="I169" s="1">
        <f>I131+I133+I137+I149+I150</f>
        <v>622182.0109090911</v>
      </c>
      <c r="J169" s="1">
        <v>688589.8</v>
      </c>
      <c r="K169" s="1"/>
      <c r="L169" s="1"/>
    </row>
    <row r="170" spans="2:15" x14ac:dyDescent="0.45">
      <c r="G170" t="s">
        <v>184</v>
      </c>
      <c r="H170" s="6">
        <f>H153-H169</f>
        <v>169130</v>
      </c>
      <c r="I170" s="1">
        <f>I153-I169</f>
        <v>118289.31272727251</v>
      </c>
      <c r="J170" s="1">
        <v>171960</v>
      </c>
      <c r="K170" s="1"/>
      <c r="L170" s="1"/>
    </row>
    <row r="171" spans="2:15" x14ac:dyDescent="0.45">
      <c r="G171" t="s">
        <v>183</v>
      </c>
      <c r="H171" s="6">
        <f>H161-H169-H170</f>
        <v>242530.5</v>
      </c>
      <c r="I171" s="1">
        <f>I161-I169-I170</f>
        <v>193677.76636363636</v>
      </c>
      <c r="J171" s="1">
        <v>227624.25</v>
      </c>
      <c r="K171" s="1"/>
      <c r="L171" s="1"/>
    </row>
    <row r="172" spans="2:15" x14ac:dyDescent="0.45">
      <c r="J172" s="1"/>
      <c r="K172" s="1"/>
      <c r="L172" s="1"/>
    </row>
    <row r="173" spans="2:15" x14ac:dyDescent="0.45">
      <c r="G173" t="s">
        <v>210</v>
      </c>
      <c r="J173" s="1"/>
      <c r="K173" s="1"/>
      <c r="L173" s="1"/>
    </row>
  </sheetData>
  <mergeCells count="1">
    <mergeCell ref="A1:O1"/>
  </mergeCells>
  <pageMargins left="0.25" right="0.25" top="0.25" bottom="0.25" header="0.3" footer="0.3"/>
  <pageSetup scale="82" fitToHeight="0" orientation="landscape" horizontalDpi="4294967293" r:id="rId1"/>
  <ignoredErrors>
    <ignoredError sqref="K3 L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19F0B-1B46-41A6-8F9F-BE124F9563C0}">
  <sheetPr>
    <pageSetUpPr fitToPage="1"/>
  </sheetPr>
  <dimension ref="A1:J59"/>
  <sheetViews>
    <sheetView zoomScale="110" zoomScaleNormal="11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defaultRowHeight="14.25" x14ac:dyDescent="0.45"/>
  <cols>
    <col min="1" max="1" width="5.3984375" bestFit="1" customWidth="1"/>
    <col min="2" max="2" width="30.265625" bestFit="1" customWidth="1"/>
    <col min="3" max="3" width="12.265625" bestFit="1" customWidth="1"/>
    <col min="4" max="7" width="11.73046875" bestFit="1" customWidth="1"/>
    <col min="8" max="8" width="11.73046875" customWidth="1"/>
    <col min="9" max="9" width="14.265625" style="1" bestFit="1" customWidth="1"/>
    <col min="10" max="10" width="59.59765625" customWidth="1"/>
  </cols>
  <sheetData>
    <row r="1" spans="1:10" ht="25.5" x14ac:dyDescent="0.75">
      <c r="B1" s="25" t="s">
        <v>182</v>
      </c>
      <c r="C1" s="25"/>
      <c r="D1" s="25"/>
      <c r="E1" s="25"/>
      <c r="F1" s="25"/>
      <c r="G1" s="25"/>
      <c r="H1" s="25"/>
      <c r="I1" s="22"/>
      <c r="J1" s="25"/>
    </row>
    <row r="2" spans="1:10" x14ac:dyDescent="0.45">
      <c r="B2" s="26">
        <v>2022</v>
      </c>
      <c r="C2" s="29">
        <f>C11</f>
        <v>246000</v>
      </c>
      <c r="D2" s="29">
        <f t="shared" ref="D2:H2" si="0">D11</f>
        <v>40000</v>
      </c>
      <c r="E2" s="29">
        <f t="shared" si="0"/>
        <v>25000</v>
      </c>
      <c r="F2" s="29">
        <f t="shared" si="0"/>
        <v>25000</v>
      </c>
      <c r="G2" s="29">
        <f t="shared" si="0"/>
        <v>0</v>
      </c>
      <c r="H2" s="29">
        <f t="shared" si="0"/>
        <v>10000</v>
      </c>
      <c r="I2" s="36">
        <f t="shared" ref="I2:I5" si="1">SUM(C2:H2)</f>
        <v>346000</v>
      </c>
    </row>
    <row r="3" spans="1:10" x14ac:dyDescent="0.45">
      <c r="B3" s="26">
        <f>+B2+1</f>
        <v>2023</v>
      </c>
      <c r="C3" s="29">
        <f>+C27</f>
        <v>10000</v>
      </c>
      <c r="D3" s="29">
        <f t="shared" ref="D3:H3" si="2">+D27</f>
        <v>20000</v>
      </c>
      <c r="E3" s="29">
        <f t="shared" si="2"/>
        <v>75000</v>
      </c>
      <c r="F3" s="29">
        <f t="shared" si="2"/>
        <v>25000</v>
      </c>
      <c r="G3" s="29">
        <f t="shared" si="2"/>
        <v>0</v>
      </c>
      <c r="H3" s="29">
        <f t="shared" si="2"/>
        <v>10000</v>
      </c>
      <c r="I3" s="36">
        <f t="shared" si="1"/>
        <v>140000</v>
      </c>
    </row>
    <row r="4" spans="1:10" x14ac:dyDescent="0.45">
      <c r="B4" s="26">
        <f>+B3+1</f>
        <v>2024</v>
      </c>
      <c r="C4" s="29">
        <f>+C37</f>
        <v>10000</v>
      </c>
      <c r="D4" s="29">
        <f t="shared" ref="D4:H4" si="3">+D37</f>
        <v>20000</v>
      </c>
      <c r="E4" s="29">
        <f t="shared" si="3"/>
        <v>25000</v>
      </c>
      <c r="F4" s="29">
        <f t="shared" si="3"/>
        <v>25000</v>
      </c>
      <c r="G4" s="29">
        <f t="shared" si="3"/>
        <v>0</v>
      </c>
      <c r="H4" s="29">
        <f t="shared" si="3"/>
        <v>10000</v>
      </c>
      <c r="I4" s="36">
        <f t="shared" si="1"/>
        <v>90000</v>
      </c>
    </row>
    <row r="5" spans="1:10" x14ac:dyDescent="0.45">
      <c r="B5" s="26">
        <f>+B4+1</f>
        <v>2025</v>
      </c>
      <c r="C5" s="29">
        <f>+C46</f>
        <v>0</v>
      </c>
      <c r="D5" s="29">
        <f t="shared" ref="D5:H5" si="4">+D46</f>
        <v>0</v>
      </c>
      <c r="E5" s="29">
        <f t="shared" si="4"/>
        <v>25000</v>
      </c>
      <c r="F5" s="29">
        <f t="shared" si="4"/>
        <v>25000</v>
      </c>
      <c r="G5" s="29">
        <f t="shared" si="4"/>
        <v>0</v>
      </c>
      <c r="H5" s="29">
        <f t="shared" si="4"/>
        <v>10000</v>
      </c>
      <c r="I5" s="36">
        <f t="shared" si="1"/>
        <v>60000</v>
      </c>
    </row>
    <row r="6" spans="1:10" x14ac:dyDescent="0.45">
      <c r="B6" s="26">
        <f>+B5+1</f>
        <v>2026</v>
      </c>
      <c r="C6" s="29">
        <f t="shared" ref="C6:H6" si="5">+C54</f>
        <v>0</v>
      </c>
      <c r="D6" s="29">
        <f t="shared" si="5"/>
        <v>0</v>
      </c>
      <c r="E6" s="29">
        <f t="shared" si="5"/>
        <v>25000</v>
      </c>
      <c r="F6" s="29">
        <f t="shared" si="5"/>
        <v>25000</v>
      </c>
      <c r="G6" s="29">
        <f t="shared" si="5"/>
        <v>0</v>
      </c>
      <c r="H6" s="29">
        <f t="shared" si="5"/>
        <v>10000</v>
      </c>
      <c r="I6" s="36">
        <f t="shared" ref="I6" si="6">SUM(C6:H6)</f>
        <v>60000</v>
      </c>
    </row>
    <row r="7" spans="1:10" x14ac:dyDescent="0.45">
      <c r="B7" s="26"/>
      <c r="C7" s="29"/>
      <c r="D7" s="29"/>
      <c r="E7" s="29"/>
      <c r="F7" s="29"/>
      <c r="G7" s="29"/>
      <c r="H7" s="29"/>
    </row>
    <row r="8" spans="1:10" x14ac:dyDescent="0.45">
      <c r="B8" s="26"/>
      <c r="C8" s="34" t="s">
        <v>190</v>
      </c>
      <c r="D8" s="34" t="s">
        <v>191</v>
      </c>
      <c r="E8" s="34" t="s">
        <v>193</v>
      </c>
      <c r="F8" s="34" t="s">
        <v>195</v>
      </c>
      <c r="G8" s="34" t="s">
        <v>197</v>
      </c>
      <c r="H8" s="35" t="s">
        <v>199</v>
      </c>
    </row>
    <row r="9" spans="1:10" ht="69.75" customHeight="1" x14ac:dyDescent="0.45">
      <c r="B9" s="30" t="s">
        <v>187</v>
      </c>
      <c r="C9" s="31" t="s">
        <v>189</v>
      </c>
      <c r="D9" s="31" t="s">
        <v>209</v>
      </c>
      <c r="E9" s="31" t="s">
        <v>192</v>
      </c>
      <c r="F9" s="31" t="s">
        <v>194</v>
      </c>
      <c r="G9" s="31" t="s">
        <v>196</v>
      </c>
      <c r="H9" s="31" t="s">
        <v>198</v>
      </c>
      <c r="I9" s="3" t="s">
        <v>207</v>
      </c>
      <c r="J9" s="2" t="s">
        <v>188</v>
      </c>
    </row>
    <row r="10" spans="1:10" x14ac:dyDescent="0.45">
      <c r="B10" s="30"/>
      <c r="C10" s="31"/>
      <c r="D10" s="31"/>
      <c r="E10" s="31"/>
      <c r="F10" s="31"/>
      <c r="G10" s="31"/>
      <c r="H10" s="31"/>
      <c r="J10" s="2"/>
    </row>
    <row r="11" spans="1:10" x14ac:dyDescent="0.45">
      <c r="A11" s="32" t="s">
        <v>200</v>
      </c>
      <c r="B11" s="26"/>
      <c r="C11" s="33">
        <f t="shared" ref="C11:H11" si="7">SUM(C12:C26)</f>
        <v>246000</v>
      </c>
      <c r="D11" s="33">
        <f t="shared" si="7"/>
        <v>40000</v>
      </c>
      <c r="E11" s="33">
        <f t="shared" si="7"/>
        <v>25000</v>
      </c>
      <c r="F11" s="33">
        <f t="shared" si="7"/>
        <v>25000</v>
      </c>
      <c r="G11" s="33">
        <f t="shared" si="7"/>
        <v>0</v>
      </c>
      <c r="H11" s="33">
        <f t="shared" si="7"/>
        <v>10000</v>
      </c>
      <c r="I11" s="3">
        <f>SUM(C11:H11)</f>
        <v>346000</v>
      </c>
    </row>
    <row r="12" spans="1:10" x14ac:dyDescent="0.45">
      <c r="A12" s="32"/>
      <c r="B12" s="27" t="s">
        <v>148</v>
      </c>
      <c r="C12" s="29">
        <v>75000</v>
      </c>
      <c r="D12" s="29"/>
      <c r="E12" s="29"/>
      <c r="F12" s="29"/>
      <c r="G12" s="29"/>
      <c r="H12" s="27"/>
      <c r="J12" t="s">
        <v>211</v>
      </c>
    </row>
    <row r="13" spans="1:10" x14ac:dyDescent="0.45">
      <c r="B13" s="27" t="s">
        <v>152</v>
      </c>
      <c r="C13" s="28">
        <v>0</v>
      </c>
      <c r="D13" s="28">
        <v>10000</v>
      </c>
      <c r="E13" s="28"/>
      <c r="F13" s="28"/>
      <c r="G13" s="28"/>
      <c r="H13" s="28"/>
      <c r="J13" t="s">
        <v>153</v>
      </c>
    </row>
    <row r="14" spans="1:10" x14ac:dyDescent="0.45">
      <c r="B14" s="27" t="s">
        <v>180</v>
      </c>
      <c r="C14" s="28">
        <v>10000</v>
      </c>
      <c r="D14" s="28">
        <v>10000</v>
      </c>
      <c r="E14" s="28"/>
      <c r="F14" s="28"/>
      <c r="G14" s="28"/>
      <c r="H14" s="28"/>
      <c r="J14" t="s">
        <v>154</v>
      </c>
    </row>
    <row r="15" spans="1:10" x14ac:dyDescent="0.45">
      <c r="B15" s="27" t="s">
        <v>151</v>
      </c>
      <c r="C15" s="28"/>
      <c r="D15" s="28"/>
      <c r="E15" s="28">
        <v>25000</v>
      </c>
      <c r="F15" s="28"/>
      <c r="G15" s="28"/>
      <c r="H15" s="28"/>
    </row>
    <row r="16" spans="1:10" x14ac:dyDescent="0.45">
      <c r="B16" s="27" t="s">
        <v>172</v>
      </c>
      <c r="C16" s="29">
        <v>10000</v>
      </c>
      <c r="D16" s="29">
        <v>10000</v>
      </c>
      <c r="E16" s="29"/>
      <c r="F16" s="29"/>
      <c r="G16" s="29"/>
      <c r="H16" s="29"/>
      <c r="I16" s="29"/>
    </row>
    <row r="17" spans="1:10" x14ac:dyDescent="0.45">
      <c r="B17" s="27" t="s">
        <v>219</v>
      </c>
      <c r="C17" s="28">
        <v>100000</v>
      </c>
      <c r="D17" s="28">
        <v>0</v>
      </c>
      <c r="E17" s="28"/>
      <c r="F17" s="28"/>
      <c r="G17" s="28"/>
      <c r="H17" s="28"/>
      <c r="J17" t="s">
        <v>239</v>
      </c>
    </row>
    <row r="18" spans="1:10" x14ac:dyDescent="0.45">
      <c r="B18" s="27" t="s">
        <v>220</v>
      </c>
      <c r="C18" s="28">
        <v>0</v>
      </c>
      <c r="D18" s="28"/>
      <c r="E18" s="28"/>
      <c r="F18" s="28"/>
      <c r="G18" s="28"/>
      <c r="H18" s="28"/>
      <c r="J18" t="s">
        <v>201</v>
      </c>
    </row>
    <row r="19" spans="1:10" x14ac:dyDescent="0.45">
      <c r="B19" s="27" t="s">
        <v>205</v>
      </c>
      <c r="C19" s="28">
        <v>10000</v>
      </c>
      <c r="D19" s="28">
        <v>10000</v>
      </c>
      <c r="E19" s="28"/>
      <c r="F19" s="28"/>
      <c r="G19" s="28"/>
      <c r="H19" s="28"/>
      <c r="J19" t="s">
        <v>154</v>
      </c>
    </row>
    <row r="20" spans="1:10" x14ac:dyDescent="0.45">
      <c r="B20" s="27" t="s">
        <v>202</v>
      </c>
      <c r="C20" s="28">
        <v>6000</v>
      </c>
      <c r="D20" s="28"/>
      <c r="E20" s="28"/>
      <c r="F20" s="28"/>
      <c r="G20" s="28"/>
      <c r="H20" s="28"/>
      <c r="J20" t="s">
        <v>149</v>
      </c>
    </row>
    <row r="21" spans="1:10" x14ac:dyDescent="0.45">
      <c r="B21" s="27" t="s">
        <v>203</v>
      </c>
      <c r="C21" s="28">
        <v>5000</v>
      </c>
      <c r="D21" s="28"/>
      <c r="E21" s="28"/>
      <c r="F21" s="28"/>
      <c r="G21" s="28"/>
      <c r="H21" s="28"/>
      <c r="J21" t="s">
        <v>149</v>
      </c>
    </row>
    <row r="22" spans="1:10" x14ac:dyDescent="0.45">
      <c r="B22" s="27" t="s">
        <v>240</v>
      </c>
      <c r="C22" s="28">
        <v>30000</v>
      </c>
      <c r="D22" s="28"/>
      <c r="E22" s="28"/>
      <c r="F22" s="28"/>
      <c r="G22" s="28"/>
      <c r="H22" s="28"/>
      <c r="J22" t="s">
        <v>241</v>
      </c>
    </row>
    <row r="23" spans="1:10" x14ac:dyDescent="0.45">
      <c r="B23" s="27" t="s">
        <v>206</v>
      </c>
      <c r="C23" s="27"/>
      <c r="D23" s="28"/>
      <c r="E23" s="28"/>
      <c r="F23" s="28">
        <v>25000</v>
      </c>
      <c r="G23" s="28"/>
      <c r="H23" s="28"/>
    </row>
    <row r="24" spans="1:10" x14ac:dyDescent="0.45">
      <c r="B24" s="27" t="s">
        <v>181</v>
      </c>
      <c r="C24" s="27"/>
      <c r="D24" s="28"/>
      <c r="E24" s="28"/>
      <c r="F24" s="28"/>
      <c r="G24" s="28"/>
      <c r="H24" s="28">
        <v>10000</v>
      </c>
    </row>
    <row r="25" spans="1:10" x14ac:dyDescent="0.45">
      <c r="A25" s="32"/>
      <c r="B25" s="26"/>
      <c r="C25" s="29"/>
      <c r="D25" s="29"/>
      <c r="E25" s="29"/>
      <c r="F25" s="29"/>
      <c r="G25" s="29"/>
      <c r="H25" s="27"/>
    </row>
    <row r="26" spans="1:10" x14ac:dyDescent="0.45">
      <c r="B26" s="26"/>
      <c r="C26" s="29"/>
      <c r="D26" s="29"/>
      <c r="E26" s="29"/>
      <c r="F26" s="29"/>
      <c r="G26" s="29"/>
      <c r="H26" s="27"/>
    </row>
    <row r="27" spans="1:10" x14ac:dyDescent="0.45">
      <c r="A27" s="32" t="s">
        <v>173</v>
      </c>
      <c r="B27" s="26"/>
      <c r="C27" s="33">
        <f t="shared" ref="C27:H27" si="8">SUM(C28:C36)</f>
        <v>10000</v>
      </c>
      <c r="D27" s="33">
        <f t="shared" si="8"/>
        <v>20000</v>
      </c>
      <c r="E27" s="33">
        <f t="shared" si="8"/>
        <v>75000</v>
      </c>
      <c r="F27" s="33">
        <f t="shared" si="8"/>
        <v>25000</v>
      </c>
      <c r="G27" s="33">
        <f t="shared" si="8"/>
        <v>0</v>
      </c>
      <c r="H27" s="33">
        <f t="shared" si="8"/>
        <v>10000</v>
      </c>
      <c r="I27" s="3">
        <f>SUM(C27:H27)</f>
        <v>140000</v>
      </c>
    </row>
    <row r="28" spans="1:10" x14ac:dyDescent="0.45">
      <c r="A28" s="32"/>
      <c r="B28" s="27" t="s">
        <v>148</v>
      </c>
      <c r="C28" s="29">
        <v>0</v>
      </c>
      <c r="D28" s="29"/>
      <c r="E28" s="29"/>
      <c r="F28" s="29"/>
      <c r="G28" s="29"/>
      <c r="H28" s="27"/>
    </row>
    <row r="29" spans="1:10" x14ac:dyDescent="0.45">
      <c r="B29" s="27" t="s">
        <v>152</v>
      </c>
      <c r="C29" s="28">
        <v>0</v>
      </c>
      <c r="D29" s="28">
        <v>10000</v>
      </c>
      <c r="E29" s="28"/>
      <c r="F29" s="28"/>
      <c r="G29" s="28"/>
      <c r="H29" s="28"/>
      <c r="J29" t="s">
        <v>153</v>
      </c>
    </row>
    <row r="30" spans="1:10" x14ac:dyDescent="0.45">
      <c r="A30" s="32"/>
      <c r="B30" s="27" t="s">
        <v>175</v>
      </c>
      <c r="C30" s="29"/>
      <c r="D30" s="29"/>
      <c r="E30" s="29">
        <v>50000</v>
      </c>
      <c r="F30" s="29"/>
      <c r="G30" s="29"/>
      <c r="H30" s="27"/>
    </row>
    <row r="31" spans="1:10" x14ac:dyDescent="0.45">
      <c r="B31" s="27" t="s">
        <v>151</v>
      </c>
      <c r="C31" s="28"/>
      <c r="D31" s="28"/>
      <c r="E31" s="28">
        <v>25000</v>
      </c>
      <c r="F31" s="28"/>
      <c r="G31" s="28"/>
      <c r="H31" s="28"/>
    </row>
    <row r="32" spans="1:10" x14ac:dyDescent="0.45">
      <c r="A32" s="32"/>
      <c r="B32" s="27" t="s">
        <v>204</v>
      </c>
      <c r="C32" s="29">
        <v>10000</v>
      </c>
      <c r="D32" s="29">
        <v>10000</v>
      </c>
      <c r="E32" s="29"/>
      <c r="F32" s="29"/>
      <c r="G32" s="29"/>
      <c r="H32" s="27"/>
    </row>
    <row r="33" spans="1:10" x14ac:dyDescent="0.45">
      <c r="B33" s="27" t="s">
        <v>206</v>
      </c>
      <c r="C33" s="27"/>
      <c r="D33" s="28"/>
      <c r="E33" s="28"/>
      <c r="F33" s="28">
        <v>25000</v>
      </c>
      <c r="G33" s="28"/>
      <c r="H33" s="28"/>
    </row>
    <row r="34" spans="1:10" x14ac:dyDescent="0.45">
      <c r="B34" s="27" t="s">
        <v>181</v>
      </c>
      <c r="C34" s="27"/>
      <c r="D34" s="28"/>
      <c r="E34" s="28"/>
      <c r="F34" s="28"/>
      <c r="G34" s="28"/>
      <c r="H34" s="28">
        <v>10000</v>
      </c>
    </row>
    <row r="35" spans="1:10" x14ac:dyDescent="0.45">
      <c r="B35" s="27"/>
      <c r="C35" s="27"/>
      <c r="D35" s="28"/>
      <c r="E35" s="28"/>
      <c r="F35" s="28"/>
      <c r="G35" s="28"/>
      <c r="H35" s="28"/>
    </row>
    <row r="36" spans="1:10" x14ac:dyDescent="0.45">
      <c r="B36" s="26"/>
      <c r="C36" s="29"/>
      <c r="D36" s="29"/>
      <c r="E36" s="29"/>
      <c r="F36" s="29"/>
      <c r="G36" s="29"/>
      <c r="H36" s="27"/>
    </row>
    <row r="37" spans="1:10" x14ac:dyDescent="0.45">
      <c r="A37" s="32" t="s">
        <v>178</v>
      </c>
      <c r="B37" s="26"/>
      <c r="C37" s="33">
        <f t="shared" ref="C37:H37" si="9">SUM(C38:C45)</f>
        <v>10000</v>
      </c>
      <c r="D37" s="33">
        <f t="shared" si="9"/>
        <v>20000</v>
      </c>
      <c r="E37" s="33">
        <f t="shared" si="9"/>
        <v>25000</v>
      </c>
      <c r="F37" s="33">
        <f t="shared" si="9"/>
        <v>25000</v>
      </c>
      <c r="G37" s="33">
        <f t="shared" si="9"/>
        <v>0</v>
      </c>
      <c r="H37" s="33">
        <f t="shared" si="9"/>
        <v>10000</v>
      </c>
      <c r="I37" s="3">
        <f>SUM(C37:H37)</f>
        <v>90000</v>
      </c>
    </row>
    <row r="38" spans="1:10" x14ac:dyDescent="0.45">
      <c r="A38" s="32"/>
      <c r="B38" s="27" t="s">
        <v>148</v>
      </c>
      <c r="C38" s="29">
        <v>0</v>
      </c>
      <c r="D38" s="29"/>
      <c r="E38" s="29"/>
      <c r="F38" s="29"/>
      <c r="G38" s="29"/>
      <c r="H38" s="27"/>
    </row>
    <row r="39" spans="1:10" x14ac:dyDescent="0.45">
      <c r="B39" s="27" t="s">
        <v>152</v>
      </c>
      <c r="C39" s="28">
        <v>0</v>
      </c>
      <c r="D39" s="28">
        <v>10000</v>
      </c>
      <c r="E39" s="28"/>
      <c r="F39" s="28"/>
      <c r="G39" s="28"/>
      <c r="H39" s="28"/>
      <c r="J39" t="s">
        <v>153</v>
      </c>
    </row>
    <row r="40" spans="1:10" x14ac:dyDescent="0.45">
      <c r="B40" s="27" t="s">
        <v>151</v>
      </c>
      <c r="C40" s="28"/>
      <c r="D40" s="28"/>
      <c r="E40" s="28">
        <v>25000</v>
      </c>
      <c r="F40" s="28"/>
      <c r="G40" s="28"/>
      <c r="H40" s="28"/>
    </row>
    <row r="41" spans="1:10" x14ac:dyDescent="0.45">
      <c r="A41" s="32"/>
      <c r="B41" s="27" t="s">
        <v>204</v>
      </c>
      <c r="C41" s="29">
        <v>10000</v>
      </c>
      <c r="D41" s="29">
        <v>10000</v>
      </c>
      <c r="E41" s="29"/>
      <c r="F41" s="29"/>
      <c r="G41" s="29"/>
      <c r="H41" s="27"/>
    </row>
    <row r="42" spans="1:10" x14ac:dyDescent="0.45">
      <c r="B42" s="27" t="s">
        <v>206</v>
      </c>
      <c r="C42" s="27"/>
      <c r="D42" s="28"/>
      <c r="E42" s="28"/>
      <c r="F42" s="28">
        <v>25000</v>
      </c>
      <c r="G42" s="28"/>
      <c r="H42" s="28"/>
    </row>
    <row r="43" spans="1:10" x14ac:dyDescent="0.45">
      <c r="B43" s="27" t="s">
        <v>181</v>
      </c>
      <c r="C43" s="27"/>
      <c r="D43" s="28"/>
      <c r="E43" s="28"/>
      <c r="F43" s="28"/>
      <c r="G43" s="28"/>
      <c r="H43" s="28">
        <v>10000</v>
      </c>
    </row>
    <row r="44" spans="1:10" x14ac:dyDescent="0.45">
      <c r="B44" s="27"/>
      <c r="C44" s="27"/>
      <c r="D44" s="28"/>
      <c r="E44" s="28"/>
      <c r="F44" s="28"/>
      <c r="G44" s="28"/>
      <c r="H44" s="28"/>
    </row>
    <row r="45" spans="1:10" x14ac:dyDescent="0.45">
      <c r="A45" s="32"/>
      <c r="B45" s="27"/>
      <c r="C45" s="29"/>
      <c r="D45" s="29"/>
      <c r="E45" s="29"/>
      <c r="F45" s="29"/>
      <c r="G45" s="29"/>
      <c r="H45" s="27"/>
    </row>
    <row r="46" spans="1:10" x14ac:dyDescent="0.45">
      <c r="A46" s="32" t="s">
        <v>186</v>
      </c>
      <c r="B46" s="26"/>
      <c r="C46" s="33">
        <f t="shared" ref="C46:H46" si="10">SUM(C47:C53)</f>
        <v>0</v>
      </c>
      <c r="D46" s="33">
        <f t="shared" si="10"/>
        <v>0</v>
      </c>
      <c r="E46" s="33">
        <f t="shared" si="10"/>
        <v>25000</v>
      </c>
      <c r="F46" s="33">
        <f t="shared" si="10"/>
        <v>25000</v>
      </c>
      <c r="G46" s="33">
        <f t="shared" si="10"/>
        <v>0</v>
      </c>
      <c r="H46" s="33">
        <f t="shared" si="10"/>
        <v>10000</v>
      </c>
      <c r="I46" s="3">
        <f>SUM(C46:H46)</f>
        <v>60000</v>
      </c>
    </row>
    <row r="47" spans="1:10" x14ac:dyDescent="0.45">
      <c r="A47" s="32"/>
      <c r="B47" s="27" t="s">
        <v>148</v>
      </c>
      <c r="C47" s="29"/>
      <c r="D47" s="29"/>
      <c r="E47" s="29"/>
      <c r="F47" s="29"/>
      <c r="G47" s="29"/>
      <c r="H47" s="27"/>
    </row>
    <row r="48" spans="1:10" x14ac:dyDescent="0.45">
      <c r="B48" s="27" t="s">
        <v>151</v>
      </c>
      <c r="C48" s="28"/>
      <c r="D48" s="28"/>
      <c r="E48" s="28">
        <v>25000</v>
      </c>
      <c r="F48" s="28"/>
      <c r="G48" s="28"/>
      <c r="H48" s="28"/>
    </row>
    <row r="49" spans="1:10" x14ac:dyDescent="0.45">
      <c r="B49" s="27" t="s">
        <v>152</v>
      </c>
      <c r="C49" s="28">
        <v>0</v>
      </c>
      <c r="D49" s="28"/>
      <c r="E49" s="28"/>
      <c r="F49" s="28"/>
      <c r="G49" s="28"/>
      <c r="H49" s="28"/>
      <c r="J49" t="s">
        <v>153</v>
      </c>
    </row>
    <row r="50" spans="1:10" x14ac:dyDescent="0.45">
      <c r="B50" s="27" t="s">
        <v>206</v>
      </c>
      <c r="C50" s="27"/>
      <c r="D50" s="28"/>
      <c r="E50" s="28"/>
      <c r="F50" s="28">
        <v>25000</v>
      </c>
      <c r="G50" s="28"/>
      <c r="H50" s="28"/>
    </row>
    <row r="51" spans="1:10" x14ac:dyDescent="0.45">
      <c r="B51" s="27" t="s">
        <v>181</v>
      </c>
      <c r="C51" s="27"/>
      <c r="D51" s="28"/>
      <c r="E51" s="28"/>
      <c r="F51" s="28"/>
      <c r="G51" s="28"/>
      <c r="H51" s="28">
        <v>10000</v>
      </c>
    </row>
    <row r="52" spans="1:10" x14ac:dyDescent="0.45">
      <c r="A52" s="32"/>
      <c r="B52" s="27"/>
      <c r="C52" s="29"/>
      <c r="D52" s="29"/>
      <c r="E52" s="29"/>
      <c r="F52" s="29"/>
      <c r="G52" s="29"/>
      <c r="H52" s="27"/>
    </row>
    <row r="53" spans="1:10" x14ac:dyDescent="0.45">
      <c r="A53" s="32"/>
      <c r="B53" s="27"/>
      <c r="C53" s="29"/>
      <c r="D53" s="29"/>
      <c r="E53" s="29"/>
      <c r="F53" s="29"/>
      <c r="G53" s="29"/>
      <c r="H53" s="27"/>
    </row>
    <row r="54" spans="1:10" x14ac:dyDescent="0.45">
      <c r="A54" s="32" t="s">
        <v>224</v>
      </c>
      <c r="B54" s="26"/>
      <c r="C54" s="33">
        <f t="shared" ref="C54:H54" si="11">SUM(C55:C60)</f>
        <v>0</v>
      </c>
      <c r="D54" s="33">
        <f t="shared" si="11"/>
        <v>0</v>
      </c>
      <c r="E54" s="33">
        <f t="shared" si="11"/>
        <v>25000</v>
      </c>
      <c r="F54" s="33">
        <f t="shared" si="11"/>
        <v>25000</v>
      </c>
      <c r="G54" s="33">
        <f t="shared" si="11"/>
        <v>0</v>
      </c>
      <c r="H54" s="33">
        <f t="shared" si="11"/>
        <v>10000</v>
      </c>
      <c r="I54" s="3">
        <f>SUM(C54:H54)</f>
        <v>60000</v>
      </c>
    </row>
    <row r="55" spans="1:10" x14ac:dyDescent="0.45">
      <c r="A55" s="32"/>
      <c r="B55" s="27" t="s">
        <v>148</v>
      </c>
      <c r="C55" s="29"/>
      <c r="D55" s="29"/>
      <c r="E55" s="29"/>
      <c r="F55" s="29"/>
      <c r="G55" s="29"/>
      <c r="H55" s="27"/>
    </row>
    <row r="56" spans="1:10" x14ac:dyDescent="0.45">
      <c r="B56" s="27" t="s">
        <v>151</v>
      </c>
      <c r="C56" s="28"/>
      <c r="D56" s="28"/>
      <c r="E56" s="28">
        <v>25000</v>
      </c>
      <c r="F56" s="28"/>
      <c r="G56" s="28"/>
      <c r="H56" s="28"/>
    </row>
    <row r="57" spans="1:10" x14ac:dyDescent="0.45">
      <c r="B57" s="27" t="s">
        <v>152</v>
      </c>
      <c r="C57" s="28">
        <v>0</v>
      </c>
      <c r="D57" s="28"/>
      <c r="E57" s="28"/>
      <c r="F57" s="28"/>
      <c r="G57" s="28"/>
      <c r="H57" s="28"/>
      <c r="J57" t="s">
        <v>153</v>
      </c>
    </row>
    <row r="58" spans="1:10" x14ac:dyDescent="0.45">
      <c r="B58" s="27" t="s">
        <v>206</v>
      </c>
      <c r="C58" s="27"/>
      <c r="D58" s="28"/>
      <c r="E58" s="28"/>
      <c r="F58" s="28">
        <v>25000</v>
      </c>
      <c r="G58" s="28"/>
      <c r="H58" s="28"/>
    </row>
    <row r="59" spans="1:10" x14ac:dyDescent="0.45">
      <c r="B59" s="27" t="s">
        <v>181</v>
      </c>
      <c r="C59" s="27"/>
      <c r="D59" s="28"/>
      <c r="E59" s="28"/>
      <c r="F59" s="28"/>
      <c r="G59" s="28"/>
      <c r="H59" s="28">
        <v>10000</v>
      </c>
    </row>
  </sheetData>
  <pageMargins left="0.25" right="0.25" top="0.75" bottom="0.75" header="0.3" footer="0.3"/>
  <pageSetup scale="70" fitToHeight="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I30"/>
  <sheetViews>
    <sheetView showGridLines="0" zoomScale="85" zoomScaleNormal="85" workbookViewId="0"/>
  </sheetViews>
  <sheetFormatPr defaultRowHeight="14.25" x14ac:dyDescent="0.45"/>
  <cols>
    <col min="1" max="1" width="2.73046875" customWidth="1"/>
    <col min="2" max="2" width="44.1328125" bestFit="1" customWidth="1"/>
    <col min="3" max="3" width="20.3984375" bestFit="1" customWidth="1"/>
    <col min="4" max="8" width="18" customWidth="1"/>
    <col min="9" max="9" width="0" hidden="1" customWidth="1"/>
  </cols>
  <sheetData>
    <row r="2" spans="2:9" ht="25.5" x14ac:dyDescent="0.75">
      <c r="B2" s="51" t="s">
        <v>231</v>
      </c>
      <c r="C2" s="51"/>
      <c r="D2" s="51"/>
      <c r="E2" s="51"/>
      <c r="F2" s="51"/>
      <c r="G2" s="51"/>
      <c r="H2" s="51"/>
      <c r="I2" s="51"/>
    </row>
    <row r="3" spans="2:9" ht="9.9499999999999993" customHeight="1" x14ac:dyDescent="0.65">
      <c r="C3" s="9"/>
      <c r="D3" s="9"/>
      <c r="E3" s="9"/>
      <c r="F3" s="9"/>
      <c r="G3" s="9"/>
      <c r="H3" s="9"/>
    </row>
    <row r="4" spans="2:9" ht="21" x14ac:dyDescent="0.65">
      <c r="B4" s="10"/>
      <c r="C4" s="11" t="s">
        <v>225</v>
      </c>
      <c r="D4" s="11">
        <v>2022</v>
      </c>
      <c r="E4" s="11" t="s">
        <v>173</v>
      </c>
      <c r="F4" s="11" t="s">
        <v>178</v>
      </c>
      <c r="G4" s="11" t="s">
        <v>186</v>
      </c>
      <c r="H4" s="11" t="s">
        <v>224</v>
      </c>
      <c r="I4" s="11" t="s">
        <v>174</v>
      </c>
    </row>
    <row r="5" spans="2:9" ht="21" x14ac:dyDescent="0.65">
      <c r="B5" s="12" t="s">
        <v>229</v>
      </c>
      <c r="C5" s="44">
        <v>1368000</v>
      </c>
      <c r="D5" s="44">
        <f>C17</f>
        <v>1020000</v>
      </c>
      <c r="E5" s="44">
        <f>D17</f>
        <v>833000</v>
      </c>
      <c r="F5" s="44">
        <f>E17</f>
        <v>738000</v>
      </c>
      <c r="G5" s="44">
        <f>F17</f>
        <v>688000</v>
      </c>
      <c r="H5" s="44">
        <f>G17</f>
        <v>663000</v>
      </c>
      <c r="I5" s="13"/>
    </row>
    <row r="6" spans="2:9" ht="9.9499999999999993" customHeight="1" x14ac:dyDescent="0.65">
      <c r="B6" s="14"/>
      <c r="C6" s="15"/>
      <c r="D6" s="15"/>
      <c r="E6" s="15"/>
      <c r="F6" s="15"/>
      <c r="G6" s="15"/>
      <c r="H6" s="15"/>
    </row>
    <row r="7" spans="2:9" ht="21" x14ac:dyDescent="0.65">
      <c r="B7" s="12" t="s">
        <v>159</v>
      </c>
      <c r="C7" s="13">
        <v>408000</v>
      </c>
      <c r="D7" s="16">
        <f>+BUDGET!H11</f>
        <v>407500</v>
      </c>
      <c r="E7" s="13">
        <v>400000</v>
      </c>
      <c r="F7" s="13">
        <v>400000</v>
      </c>
      <c r="G7" s="13">
        <v>400000</v>
      </c>
      <c r="H7" s="13">
        <v>400000</v>
      </c>
      <c r="I7" s="52">
        <f>SUM(C7:G8)</f>
        <v>2362000</v>
      </c>
    </row>
    <row r="8" spans="2:9" ht="21" x14ac:dyDescent="0.65">
      <c r="B8" s="12" t="s">
        <v>160</v>
      </c>
      <c r="C8" s="13">
        <f>600600-C7-C9</f>
        <v>96200</v>
      </c>
      <c r="D8" s="13">
        <f>+BUDGET!H38-D7-D9</f>
        <v>70300</v>
      </c>
      <c r="E8" s="13">
        <v>60000</v>
      </c>
      <c r="F8" s="13">
        <v>60000</v>
      </c>
      <c r="G8" s="13">
        <v>60000</v>
      </c>
      <c r="H8" s="13">
        <v>60000</v>
      </c>
      <c r="I8" s="52"/>
    </row>
    <row r="9" spans="2:9" ht="21" x14ac:dyDescent="0.65">
      <c r="B9" s="12" t="s">
        <v>243</v>
      </c>
      <c r="C9" s="13">
        <v>96400</v>
      </c>
      <c r="D9" s="13">
        <v>93000</v>
      </c>
      <c r="E9" s="13">
        <v>0</v>
      </c>
      <c r="F9" s="13">
        <v>0</v>
      </c>
      <c r="G9" s="13">
        <v>0</v>
      </c>
      <c r="H9" s="13">
        <v>0</v>
      </c>
      <c r="I9" s="48"/>
    </row>
    <row r="10" spans="2:9" ht="21" x14ac:dyDescent="0.65">
      <c r="B10" s="12" t="s">
        <v>217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40"/>
    </row>
    <row r="11" spans="2:9" ht="9.9499999999999993" customHeight="1" x14ac:dyDescent="0.65">
      <c r="B11" s="14"/>
      <c r="C11" s="13"/>
      <c r="D11" s="13"/>
      <c r="E11" s="13"/>
      <c r="F11" s="13"/>
      <c r="G11" s="13"/>
      <c r="H11" s="13"/>
    </row>
    <row r="12" spans="2:9" ht="21" x14ac:dyDescent="0.65">
      <c r="B12" s="12" t="s">
        <v>161</v>
      </c>
      <c r="C12" s="13">
        <v>371000</v>
      </c>
      <c r="D12" s="13">
        <f>BUDGET!H161-PROJECTION!D13</f>
        <v>411660.5</v>
      </c>
      <c r="E12" s="13">
        <v>415000</v>
      </c>
      <c r="F12" s="13">
        <v>420000</v>
      </c>
      <c r="G12" s="13">
        <v>425000</v>
      </c>
      <c r="H12" s="13">
        <v>430000</v>
      </c>
      <c r="I12" s="13">
        <f>SUM(C12:G12)</f>
        <v>2042660.5</v>
      </c>
    </row>
    <row r="13" spans="2:9" ht="21" x14ac:dyDescent="0.65">
      <c r="B13" s="12" t="s">
        <v>208</v>
      </c>
      <c r="C13" s="13">
        <v>577400</v>
      </c>
      <c r="D13" s="13">
        <f>ROADS!I2</f>
        <v>346000</v>
      </c>
      <c r="E13" s="13">
        <f>ROADS!I3</f>
        <v>140000</v>
      </c>
      <c r="F13" s="13">
        <f>ROADS!I4</f>
        <v>90000</v>
      </c>
      <c r="G13" s="13">
        <f>ROADS!I5</f>
        <v>60000</v>
      </c>
      <c r="H13" s="13">
        <f>ROADS!I6</f>
        <v>60000</v>
      </c>
      <c r="I13" s="13">
        <f>SUM(C13:G13)</f>
        <v>1213400</v>
      </c>
    </row>
    <row r="14" spans="2:9" ht="21" x14ac:dyDescent="0.65">
      <c r="B14" s="12" t="s">
        <v>247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/>
    </row>
    <row r="15" spans="2:9" ht="21" x14ac:dyDescent="0.65">
      <c r="B15" s="12" t="s">
        <v>216</v>
      </c>
      <c r="C15" s="13">
        <v>0</v>
      </c>
      <c r="D15" s="13">
        <f>D19-C19</f>
        <v>230830.25</v>
      </c>
      <c r="E15" s="13">
        <f>E19-D19</f>
        <v>26669.75</v>
      </c>
      <c r="F15" s="13">
        <f>F19-E19</f>
        <v>27500</v>
      </c>
      <c r="G15" s="13">
        <f>G19-F19</f>
        <v>27500</v>
      </c>
      <c r="H15" s="13">
        <v>2500</v>
      </c>
      <c r="I15" s="13"/>
    </row>
    <row r="16" spans="2:9" ht="9.9499999999999993" customHeight="1" x14ac:dyDescent="0.65">
      <c r="I16" s="13"/>
    </row>
    <row r="17" spans="2:9" ht="21" x14ac:dyDescent="0.65">
      <c r="B17" s="12" t="s">
        <v>215</v>
      </c>
      <c r="C17" s="44">
        <f t="shared" ref="C17:H17" si="0">ROUND(C5+C7+C8+C9-C12-C13-C14,-3)</f>
        <v>1020000</v>
      </c>
      <c r="D17" s="44">
        <f t="shared" si="0"/>
        <v>833000</v>
      </c>
      <c r="E17" s="44">
        <f t="shared" si="0"/>
        <v>738000</v>
      </c>
      <c r="F17" s="44">
        <f t="shared" si="0"/>
        <v>688000</v>
      </c>
      <c r="G17" s="44">
        <f t="shared" si="0"/>
        <v>663000</v>
      </c>
      <c r="H17" s="49">
        <f t="shared" si="0"/>
        <v>633000</v>
      </c>
      <c r="I17" s="13"/>
    </row>
    <row r="18" spans="2:9" ht="9.9499999999999993" customHeight="1" x14ac:dyDescent="0.65">
      <c r="B18" s="17"/>
      <c r="C18" s="17"/>
      <c r="D18" s="17"/>
      <c r="E18" s="17"/>
      <c r="F18" s="17"/>
      <c r="G18" s="17"/>
      <c r="H18" s="17"/>
      <c r="I18" s="13"/>
    </row>
    <row r="19" spans="2:9" ht="21" x14ac:dyDescent="0.65">
      <c r="B19" s="12" t="s">
        <v>214</v>
      </c>
      <c r="C19" s="13">
        <v>0</v>
      </c>
      <c r="D19" s="13">
        <f>SUM(D20:D22)</f>
        <v>230830.25</v>
      </c>
      <c r="E19" s="13">
        <f>SUM(E20:E22)</f>
        <v>257500</v>
      </c>
      <c r="F19" s="13">
        <f>SUM(F20:F22)</f>
        <v>285000</v>
      </c>
      <c r="G19" s="13">
        <f>SUM(G20:G22)</f>
        <v>312500</v>
      </c>
      <c r="H19" s="13">
        <f>SUM(H20:H22)</f>
        <v>215000</v>
      </c>
      <c r="I19" s="13"/>
    </row>
    <row r="20" spans="2:9" ht="21" x14ac:dyDescent="0.65">
      <c r="B20" s="43" t="s">
        <v>221</v>
      </c>
      <c r="C20" s="13">
        <v>0</v>
      </c>
      <c r="D20" s="13">
        <f>D12/2</f>
        <v>205830.25</v>
      </c>
      <c r="E20" s="13">
        <f>+E12/2</f>
        <v>207500</v>
      </c>
      <c r="F20" s="13">
        <f>+F12/2</f>
        <v>210000</v>
      </c>
      <c r="G20" s="13">
        <f>+G12/2</f>
        <v>212500</v>
      </c>
      <c r="H20" s="13">
        <f>+H12/2</f>
        <v>215000</v>
      </c>
      <c r="I20" s="13"/>
    </row>
    <row r="21" spans="2:9" ht="21" x14ac:dyDescent="0.65">
      <c r="B21" s="43" t="s">
        <v>222</v>
      </c>
      <c r="C21" s="13">
        <v>0</v>
      </c>
      <c r="D21" s="13">
        <v>0</v>
      </c>
      <c r="E21" s="13">
        <f>+D21</f>
        <v>0</v>
      </c>
      <c r="F21" s="13">
        <f>+E21</f>
        <v>0</v>
      </c>
      <c r="G21" s="13">
        <f>+F21</f>
        <v>0</v>
      </c>
      <c r="H21" s="13">
        <f>+G21</f>
        <v>0</v>
      </c>
      <c r="I21" s="13"/>
    </row>
    <row r="22" spans="2:9" ht="21" x14ac:dyDescent="0.65">
      <c r="B22" s="43" t="s">
        <v>206</v>
      </c>
      <c r="C22" s="13">
        <v>0</v>
      </c>
      <c r="D22" s="13">
        <v>25000</v>
      </c>
      <c r="E22" s="13">
        <f>+D22+25000-E10</f>
        <v>50000</v>
      </c>
      <c r="F22" s="13">
        <f>+E22+25000-F10</f>
        <v>75000</v>
      </c>
      <c r="G22" s="13">
        <f>+F22+25000-G10</f>
        <v>100000</v>
      </c>
      <c r="H22" s="13">
        <v>0</v>
      </c>
      <c r="I22" s="13"/>
    </row>
    <row r="23" spans="2:9" ht="9.9499999999999993" customHeight="1" x14ac:dyDescent="0.65">
      <c r="B23" s="17"/>
      <c r="C23" s="17"/>
      <c r="D23" s="17"/>
      <c r="E23" s="17"/>
      <c r="F23" s="17"/>
      <c r="G23" s="17"/>
      <c r="H23" s="17"/>
      <c r="I23" s="13"/>
    </row>
    <row r="24" spans="2:9" ht="21" x14ac:dyDescent="0.65">
      <c r="B24" s="12" t="s">
        <v>213</v>
      </c>
      <c r="C24" s="44">
        <f>+C17</f>
        <v>1020000</v>
      </c>
      <c r="D24" s="44">
        <f>+D17-D19</f>
        <v>602169.75</v>
      </c>
      <c r="E24" s="44">
        <f t="shared" ref="E24:H24" si="1">+E17-E19</f>
        <v>480500</v>
      </c>
      <c r="F24" s="44">
        <f t="shared" si="1"/>
        <v>403000</v>
      </c>
      <c r="G24" s="44">
        <f t="shared" si="1"/>
        <v>350500</v>
      </c>
      <c r="H24" s="49">
        <f t="shared" si="1"/>
        <v>418000</v>
      </c>
      <c r="I24" s="13"/>
    </row>
    <row r="25" spans="2:9" ht="9.9499999999999993" customHeight="1" x14ac:dyDescent="0.65">
      <c r="B25" s="17"/>
      <c r="C25" s="17"/>
      <c r="D25" s="17"/>
      <c r="E25" s="17"/>
      <c r="F25" s="17"/>
      <c r="G25" s="17"/>
      <c r="H25" s="17"/>
      <c r="I25" s="13"/>
    </row>
    <row r="26" spans="2:9" ht="102.75" customHeight="1" x14ac:dyDescent="0.5">
      <c r="B26" s="53" t="s">
        <v>248</v>
      </c>
      <c r="C26" s="53"/>
      <c r="D26" s="53"/>
      <c r="E26" s="53"/>
      <c r="F26" s="53"/>
      <c r="G26" s="53"/>
      <c r="H26" s="53"/>
      <c r="I26" s="53"/>
    </row>
    <row r="27" spans="2:9" x14ac:dyDescent="0.45">
      <c r="B27" s="8"/>
      <c r="C27" s="8"/>
      <c r="D27" s="8"/>
      <c r="E27" s="8"/>
      <c r="F27" s="8"/>
      <c r="G27" s="8"/>
      <c r="H27" s="8"/>
      <c r="I27" s="8"/>
    </row>
    <row r="28" spans="2:9" x14ac:dyDescent="0.45">
      <c r="B28" s="8"/>
    </row>
    <row r="30" spans="2:9" x14ac:dyDescent="0.45">
      <c r="D30" s="8"/>
    </row>
  </sheetData>
  <mergeCells count="3">
    <mergeCell ref="B2:I2"/>
    <mergeCell ref="I7:I8"/>
    <mergeCell ref="B26:I26"/>
  </mergeCells>
  <pageMargins left="0.25" right="0.25" top="0.75" bottom="0.75" header="0.3" footer="0.3"/>
  <pageSetup scale="85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F5314-1211-418E-83E1-0E9CB6139B70}">
  <dimension ref="A1"/>
  <sheetViews>
    <sheetView workbookViewId="0"/>
  </sheetViews>
  <sheetFormatPr defaultRowHeight="14.25" x14ac:dyDescent="0.45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SUMMARY</vt:lpstr>
      <vt:lpstr>BUDGET</vt:lpstr>
      <vt:lpstr>ROADS</vt:lpstr>
      <vt:lpstr>PROJECTION</vt:lpstr>
      <vt:lpstr>HISTORICAL</vt:lpstr>
      <vt:lpstr>BUDGET!Print_Area</vt:lpstr>
      <vt:lpstr>PROJECTION!Print_Area</vt:lpstr>
      <vt:lpstr>BUDGET!Print_Titles</vt:lpstr>
      <vt:lpstr>ROADS!Print_Titles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Winde</dc:creator>
  <cp:lastModifiedBy>Ron Mossberg</cp:lastModifiedBy>
  <cp:lastPrinted>2021-12-02T22:39:44Z</cp:lastPrinted>
  <dcterms:created xsi:type="dcterms:W3CDTF">2018-10-22T00:51:34Z</dcterms:created>
  <dcterms:modified xsi:type="dcterms:W3CDTF">2022-11-18T03:16:25Z</dcterms:modified>
</cp:coreProperties>
</file>