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fileSharing userName="Windemere Township Treasurer" algorithmName="SHA-512" hashValue="OQfVNI39vwihl9hZTBOPaxfdRTGuOIEE1DSrr0OxzXKw6EY8FVB8cwp+Lt0YenBQ8iOGF69nBoDDhphgltvFXQ==" saltValue="MRu/d4dH33TdN5CYenXqL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e\Google Drive\Windemere Township\Budget\2021\"/>
    </mc:Choice>
  </mc:AlternateContent>
  <xr:revisionPtr revIDLastSave="0" documentId="13_ncr:10001_{37CFCC31-2F3D-44B8-AC60-2E81E520DA9C}" xr6:coauthVersionLast="47" xr6:coauthVersionMax="47" xr10:uidLastSave="{00000000-0000-0000-0000-000000000000}"/>
  <bookViews>
    <workbookView xWindow="-120" yWindow="-120" windowWidth="29040" windowHeight="16440" activeTab="3" xr2:uid="{00000000-000D-0000-FFFF-FFFF00000000}"/>
  </bookViews>
  <sheets>
    <sheet name="SUMMARY" sheetId="5" r:id="rId1"/>
    <sheet name="BUDGET" sheetId="3" r:id="rId2"/>
    <sheet name="ROADS" sheetId="7" r:id="rId3"/>
    <sheet name="PROJECTION1" sheetId="6" r:id="rId4"/>
    <sheet name="PROJECTION2" sheetId="9" r:id="rId5"/>
    <sheet name="HISTORICAL" sheetId="8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BUDGET!$A$6:$P$169</definedName>
    <definedName name="_xlnm.Print_Area" localSheetId="3">PROJECTION1!$A$1:$I$30</definedName>
    <definedName name="_xlnm.Print_Titles" localSheetId="1">BUDGET!$1:$5</definedName>
    <definedName name="_xlnm.Print_Titles" localSheetId="2">ROADS!$1:$9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F20" i="9" s="1"/>
  <c r="G20" i="9" s="1"/>
  <c r="H20" i="9" s="1"/>
  <c r="E19" i="9"/>
  <c r="F19" i="9" s="1"/>
  <c r="G19" i="9" s="1"/>
  <c r="H19" i="9" s="1"/>
  <c r="E18" i="9"/>
  <c r="F18" i="9" s="1"/>
  <c r="G18" i="9" s="1"/>
  <c r="H18" i="9" s="1"/>
  <c r="C15" i="9"/>
  <c r="C22" i="9" s="1"/>
  <c r="H13" i="9"/>
  <c r="G13" i="9"/>
  <c r="F13" i="9"/>
  <c r="E13" i="9"/>
  <c r="D13" i="9"/>
  <c r="D17" i="9" s="1"/>
  <c r="E17" i="9" s="1"/>
  <c r="F17" i="9" s="1"/>
  <c r="G17" i="9" s="1"/>
  <c r="H17" i="9" s="1"/>
  <c r="H12" i="9"/>
  <c r="G12" i="9"/>
  <c r="F12" i="9"/>
  <c r="E12" i="9"/>
  <c r="D12" i="9"/>
  <c r="I12" i="9" s="1"/>
  <c r="I11" i="9"/>
  <c r="D11" i="9"/>
  <c r="D8" i="9"/>
  <c r="D7" i="9"/>
  <c r="I7" i="9" s="1"/>
  <c r="D13" i="6"/>
  <c r="D17" i="6" s="1"/>
  <c r="G13" i="6"/>
  <c r="F13" i="6"/>
  <c r="E13" i="6"/>
  <c r="E19" i="6"/>
  <c r="F19" i="6" s="1"/>
  <c r="G19" i="6" s="1"/>
  <c r="H19" i="6" s="1"/>
  <c r="H13" i="6"/>
  <c r="F18" i="6"/>
  <c r="G18" i="6" s="1"/>
  <c r="H18" i="6" s="1"/>
  <c r="E20" i="6"/>
  <c r="F20" i="6" s="1"/>
  <c r="G20" i="6" s="1"/>
  <c r="H20" i="6" s="1"/>
  <c r="E18" i="6"/>
  <c r="H168" i="3"/>
  <c r="N9" i="5"/>
  <c r="O139" i="3"/>
  <c r="O138" i="3"/>
  <c r="N145" i="3"/>
  <c r="N148" i="3" s="1"/>
  <c r="M145" i="3"/>
  <c r="O158" i="3"/>
  <c r="O157" i="3"/>
  <c r="O155" i="3"/>
  <c r="O154" i="3"/>
  <c r="O152" i="3"/>
  <c r="O149" i="3"/>
  <c r="O147" i="3"/>
  <c r="O146" i="3"/>
  <c r="O144" i="3"/>
  <c r="O143" i="3"/>
  <c r="O142" i="3"/>
  <c r="O141" i="3"/>
  <c r="O140" i="3"/>
  <c r="O137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18" i="3"/>
  <c r="O117" i="3"/>
  <c r="O115" i="3"/>
  <c r="O114" i="3"/>
  <c r="O110" i="3"/>
  <c r="O108" i="3"/>
  <c r="O107" i="3"/>
  <c r="O105" i="3"/>
  <c r="O104" i="3"/>
  <c r="O103" i="3"/>
  <c r="O102" i="3"/>
  <c r="O101" i="3"/>
  <c r="O98" i="3"/>
  <c r="O96" i="3"/>
  <c r="O95" i="3"/>
  <c r="O93" i="3"/>
  <c r="O92" i="3"/>
  <c r="O91" i="3"/>
  <c r="O90" i="3"/>
  <c r="O88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47" i="3"/>
  <c r="O46" i="3"/>
  <c r="O45" i="3"/>
  <c r="O44" i="3"/>
  <c r="O43" i="3"/>
  <c r="N156" i="3"/>
  <c r="M156" i="3"/>
  <c r="L156" i="3"/>
  <c r="M148" i="3"/>
  <c r="M150" i="3" s="1"/>
  <c r="N106" i="3"/>
  <c r="M106" i="3"/>
  <c r="N94" i="3"/>
  <c r="M94" i="3"/>
  <c r="M97" i="3" s="1"/>
  <c r="N97" i="3"/>
  <c r="N85" i="3"/>
  <c r="N86" i="3" s="1"/>
  <c r="M85" i="3"/>
  <c r="M86" i="3" s="1"/>
  <c r="N37" i="3"/>
  <c r="M37" i="3"/>
  <c r="N23" i="3"/>
  <c r="N24" i="3" s="1"/>
  <c r="M23" i="3"/>
  <c r="N17" i="3"/>
  <c r="M17" i="3"/>
  <c r="N14" i="3"/>
  <c r="M14" i="3"/>
  <c r="N11" i="3"/>
  <c r="M11" i="3"/>
  <c r="O36" i="3"/>
  <c r="O35" i="3"/>
  <c r="O34" i="3"/>
  <c r="O30" i="3"/>
  <c r="O29" i="3"/>
  <c r="O28" i="3"/>
  <c r="O27" i="3"/>
  <c r="O22" i="3"/>
  <c r="O21" i="3"/>
  <c r="O20" i="3"/>
  <c r="O16" i="3"/>
  <c r="O13" i="3"/>
  <c r="O10" i="3"/>
  <c r="O9" i="3"/>
  <c r="N153" i="3"/>
  <c r="M153" i="3"/>
  <c r="N116" i="3"/>
  <c r="N119" i="3" s="1"/>
  <c r="M116" i="3"/>
  <c r="M119" i="3" s="1"/>
  <c r="M109" i="3"/>
  <c r="N48" i="3"/>
  <c r="N49" i="3" s="1"/>
  <c r="M48" i="3"/>
  <c r="M49" i="3" s="1"/>
  <c r="N31" i="3"/>
  <c r="N32" i="3" s="1"/>
  <c r="M31" i="3"/>
  <c r="K145" i="3"/>
  <c r="K148" i="3" s="1"/>
  <c r="K150" i="3" s="1"/>
  <c r="I145" i="3"/>
  <c r="I148" i="3" s="1"/>
  <c r="I150" i="3" s="1"/>
  <c r="L116" i="3"/>
  <c r="L119" i="3" s="1"/>
  <c r="K116" i="3"/>
  <c r="K119" i="3" s="1"/>
  <c r="J116" i="3"/>
  <c r="J119" i="3" s="1"/>
  <c r="I116" i="3"/>
  <c r="I119" i="3" s="1"/>
  <c r="K106" i="3"/>
  <c r="K109" i="3" s="1"/>
  <c r="I106" i="3"/>
  <c r="I109" i="3" s="1"/>
  <c r="K94" i="3"/>
  <c r="K97" i="3" s="1"/>
  <c r="I94" i="3"/>
  <c r="I97" i="3" s="1"/>
  <c r="K85" i="3"/>
  <c r="K86" i="3" s="1"/>
  <c r="J85" i="3"/>
  <c r="I85" i="3"/>
  <c r="I86" i="3" s="1"/>
  <c r="K48" i="3"/>
  <c r="K49" i="3" s="1"/>
  <c r="J48" i="3"/>
  <c r="J49" i="3" s="1"/>
  <c r="I48" i="3"/>
  <c r="I49" i="3" s="1"/>
  <c r="H48" i="3"/>
  <c r="H49" i="3" s="1"/>
  <c r="N6" i="5" s="1"/>
  <c r="L37" i="3"/>
  <c r="K37" i="3"/>
  <c r="J37" i="3"/>
  <c r="I37" i="3"/>
  <c r="L31" i="3"/>
  <c r="L32" i="3" s="1"/>
  <c r="K31" i="3"/>
  <c r="K32" i="3" s="1"/>
  <c r="J31" i="3"/>
  <c r="J32" i="3" s="1"/>
  <c r="I31" i="3"/>
  <c r="I32" i="3" s="1"/>
  <c r="L23" i="3"/>
  <c r="L24" i="3" s="1"/>
  <c r="K23" i="3"/>
  <c r="K24" i="3" s="1"/>
  <c r="J23" i="3"/>
  <c r="J24" i="3" s="1"/>
  <c r="I23" i="3"/>
  <c r="I24" i="3" s="1"/>
  <c r="L14" i="3"/>
  <c r="K14" i="3"/>
  <c r="J14" i="3"/>
  <c r="I14" i="3"/>
  <c r="L11" i="3"/>
  <c r="K11" i="3"/>
  <c r="K38" i="3" s="1"/>
  <c r="I11" i="3"/>
  <c r="K156" i="3"/>
  <c r="I156" i="3"/>
  <c r="D5" i="9" l="1"/>
  <c r="D15" i="9" s="1"/>
  <c r="D22" i="9" s="1"/>
  <c r="E5" i="9" s="1"/>
  <c r="E15" i="9" s="1"/>
  <c r="E22" i="9" s="1"/>
  <c r="F5" i="9" s="1"/>
  <c r="F15" i="9" s="1"/>
  <c r="F22" i="9" s="1"/>
  <c r="G5" i="9" s="1"/>
  <c r="G15" i="9" s="1"/>
  <c r="G22" i="9" s="1"/>
  <c r="H5" i="9" s="1"/>
  <c r="H15" i="9" s="1"/>
  <c r="H22" i="9" s="1"/>
  <c r="E17" i="6"/>
  <c r="F17" i="6" s="1"/>
  <c r="G17" i="6" s="1"/>
  <c r="H17" i="6" s="1"/>
  <c r="O94" i="3"/>
  <c r="O49" i="3"/>
  <c r="O148" i="3"/>
  <c r="M111" i="3"/>
  <c r="O119" i="3"/>
  <c r="O86" i="3"/>
  <c r="O37" i="3"/>
  <c r="O97" i="3"/>
  <c r="O106" i="3"/>
  <c r="O11" i="3"/>
  <c r="O31" i="3"/>
  <c r="O153" i="3"/>
  <c r="N38" i="3"/>
  <c r="O156" i="3"/>
  <c r="N109" i="3"/>
  <c r="O109" i="3" s="1"/>
  <c r="N150" i="3"/>
  <c r="O150" i="3" s="1"/>
  <c r="O85" i="3"/>
  <c r="M32" i="3"/>
  <c r="O32" i="3" s="1"/>
  <c r="N111" i="3"/>
  <c r="N159" i="3" s="1"/>
  <c r="O48" i="3"/>
  <c r="O116" i="3"/>
  <c r="O145" i="3"/>
  <c r="O14" i="3"/>
  <c r="M159" i="3"/>
  <c r="O23" i="3"/>
  <c r="M24" i="3"/>
  <c r="O17" i="3"/>
  <c r="K111" i="3"/>
  <c r="K159" i="3" s="1"/>
  <c r="K160" i="3" s="1"/>
  <c r="I111" i="3"/>
  <c r="I159" i="3" s="1"/>
  <c r="I38" i="3"/>
  <c r="M38" i="3" l="1"/>
  <c r="O38" i="3" s="1"/>
  <c r="O24" i="3"/>
  <c r="I160" i="3"/>
  <c r="O111" i="3"/>
  <c r="N160" i="3"/>
  <c r="O159" i="3"/>
  <c r="M160" i="3" l="1"/>
  <c r="O160" i="3" s="1"/>
  <c r="H143" i="3"/>
  <c r="H141" i="3" l="1"/>
  <c r="H140" i="3"/>
  <c r="H116" i="3"/>
  <c r="H119" i="3" s="1"/>
  <c r="N13" i="5" s="1"/>
  <c r="H104" i="3"/>
  <c r="H103" i="3"/>
  <c r="H92" i="3"/>
  <c r="H94" i="3" s="1"/>
  <c r="H97" i="3" s="1"/>
  <c r="N8" i="5" s="1"/>
  <c r="H85" i="3"/>
  <c r="H54" i="3"/>
  <c r="H53" i="3"/>
  <c r="H37" i="3"/>
  <c r="G10" i="5" s="1"/>
  <c r="H31" i="3"/>
  <c r="H32" i="3" s="1"/>
  <c r="G9" i="5" s="1"/>
  <c r="H23" i="3"/>
  <c r="H24" i="3" s="1"/>
  <c r="G8" i="5" s="1"/>
  <c r="H17" i="3"/>
  <c r="G7" i="5" s="1"/>
  <c r="H14" i="3"/>
  <c r="G6" i="5" s="1"/>
  <c r="H11" i="3"/>
  <c r="B3" i="7"/>
  <c r="B4" i="7" s="1"/>
  <c r="B5" i="7" s="1"/>
  <c r="B6" i="7" s="1"/>
  <c r="C15" i="6"/>
  <c r="C22" i="6" s="1"/>
  <c r="H145" i="3" l="1"/>
  <c r="H106" i="3"/>
  <c r="H109" i="3" s="1"/>
  <c r="N10" i="5" s="1"/>
  <c r="H86" i="3"/>
  <c r="H165" i="3"/>
  <c r="D7" i="6" s="1"/>
  <c r="G5" i="5"/>
  <c r="H38" i="3"/>
  <c r="H148" i="3" l="1"/>
  <c r="H150" i="3" s="1"/>
  <c r="N14" i="5" s="1"/>
  <c r="H111" i="3"/>
  <c r="N7" i="5"/>
  <c r="H166" i="3"/>
  <c r="D8" i="6" s="1"/>
  <c r="H60" i="7"/>
  <c r="H6" i="7" s="1"/>
  <c r="G60" i="7"/>
  <c r="G6" i="7" s="1"/>
  <c r="F60" i="7"/>
  <c r="F6" i="7" s="1"/>
  <c r="E60" i="7"/>
  <c r="E6" i="7" s="1"/>
  <c r="D60" i="7"/>
  <c r="D6" i="7" s="1"/>
  <c r="C60" i="7"/>
  <c r="C6" i="7" s="1"/>
  <c r="H52" i="7"/>
  <c r="H5" i="7" s="1"/>
  <c r="G52" i="7"/>
  <c r="G5" i="7" s="1"/>
  <c r="F52" i="7"/>
  <c r="F5" i="7" s="1"/>
  <c r="E52" i="7"/>
  <c r="E5" i="7" s="1"/>
  <c r="D52" i="7"/>
  <c r="D5" i="7" s="1"/>
  <c r="C52" i="7"/>
  <c r="C5" i="7" s="1"/>
  <c r="H42" i="7"/>
  <c r="H4" i="7" s="1"/>
  <c r="G42" i="7"/>
  <c r="G4" i="7" s="1"/>
  <c r="F42" i="7"/>
  <c r="F4" i="7" s="1"/>
  <c r="E42" i="7"/>
  <c r="E4" i="7" s="1"/>
  <c r="D42" i="7"/>
  <c r="D4" i="7" s="1"/>
  <c r="C42" i="7"/>
  <c r="C4" i="7" s="1"/>
  <c r="H27" i="7"/>
  <c r="H3" i="7" s="1"/>
  <c r="G27" i="7"/>
  <c r="G3" i="7" s="1"/>
  <c r="F27" i="7"/>
  <c r="F3" i="7" s="1"/>
  <c r="E27" i="7"/>
  <c r="E3" i="7" s="1"/>
  <c r="D27" i="7"/>
  <c r="D3" i="7" s="1"/>
  <c r="C27" i="7"/>
  <c r="C3" i="7" s="1"/>
  <c r="H11" i="7"/>
  <c r="H2" i="7" s="1"/>
  <c r="G11" i="7"/>
  <c r="G2" i="7" s="1"/>
  <c r="F11" i="7"/>
  <c r="F2" i="7" s="1"/>
  <c r="E11" i="7"/>
  <c r="E2" i="7" s="1"/>
  <c r="D11" i="7"/>
  <c r="D2" i="7" s="1"/>
  <c r="C11" i="7"/>
  <c r="C2" i="7" s="1"/>
  <c r="H159" i="3" l="1"/>
  <c r="H169" i="3"/>
  <c r="I6" i="7"/>
  <c r="H12" i="6" s="1"/>
  <c r="I4" i="7"/>
  <c r="F12" i="6" s="1"/>
  <c r="I3" i="7"/>
  <c r="E12" i="6" s="1"/>
  <c r="I52" i="7"/>
  <c r="I60" i="7"/>
  <c r="I5" i="7"/>
  <c r="G12" i="6" s="1"/>
  <c r="I27" i="7"/>
  <c r="I42" i="7"/>
  <c r="I2" i="7"/>
  <c r="D12" i="6" s="1"/>
  <c r="I11" i="7"/>
  <c r="H160" i="3" l="1"/>
  <c r="J163" i="3"/>
  <c r="I163" i="3"/>
  <c r="D11" i="6"/>
  <c r="H170" i="3"/>
  <c r="J92" i="3"/>
  <c r="J94" i="3" s="1"/>
  <c r="J97" i="3" s="1"/>
  <c r="J141" i="3" l="1"/>
  <c r="J140" i="3"/>
  <c r="J145" i="3" s="1"/>
  <c r="J148" i="3" s="1"/>
  <c r="J150" i="3" s="1"/>
  <c r="J104" i="3"/>
  <c r="J103" i="3"/>
  <c r="J54" i="3"/>
  <c r="J53" i="3"/>
  <c r="J86" i="3" s="1"/>
  <c r="J106" i="3" l="1"/>
  <c r="J109" i="3" s="1"/>
  <c r="J111" i="3" s="1"/>
  <c r="J159" i="3" s="1"/>
  <c r="J10" i="3" l="1"/>
  <c r="J11" i="3" s="1"/>
  <c r="J17" i="3"/>
  <c r="J38" i="3" l="1"/>
  <c r="J160" i="3" s="1"/>
  <c r="G11" i="5"/>
  <c r="I7" i="6" l="1"/>
  <c r="L91" i="3" l="1"/>
  <c r="L143" i="3" l="1"/>
  <c r="L83" i="3" l="1"/>
  <c r="L129" i="3"/>
  <c r="L141" i="3" l="1"/>
  <c r="L145" i="3" s="1"/>
  <c r="L148" i="3" s="1"/>
  <c r="L150" i="3" s="1"/>
  <c r="L104" i="3" l="1"/>
  <c r="L106" i="3" s="1"/>
  <c r="L109" i="3" s="1"/>
  <c r="L92" i="3"/>
  <c r="L94" i="3" s="1"/>
  <c r="L97" i="3" s="1"/>
  <c r="L80" i="3"/>
  <c r="L70" i="3"/>
  <c r="L68" i="3"/>
  <c r="L54" i="3"/>
  <c r="L53" i="3"/>
  <c r="L46" i="3"/>
  <c r="L48" i="3" s="1"/>
  <c r="L49" i="3" s="1"/>
  <c r="L85" i="3" l="1"/>
  <c r="L86" i="3" s="1"/>
  <c r="L111" i="3" s="1"/>
  <c r="L159" i="3" s="1"/>
  <c r="N11" i="5"/>
  <c r="L17" i="3"/>
  <c r="L38" i="3" s="1"/>
  <c r="L160" i="3" l="1"/>
  <c r="N15" i="5"/>
  <c r="O9" i="5" l="1"/>
  <c r="O6" i="5"/>
  <c r="O13" i="5"/>
  <c r="O7" i="5"/>
  <c r="O8" i="5"/>
  <c r="O10" i="5"/>
  <c r="O14" i="5"/>
  <c r="N17" i="5"/>
  <c r="O11" i="5"/>
  <c r="I12" i="6"/>
  <c r="I11" i="6" l="1"/>
  <c r="D5" i="6" l="1"/>
  <c r="D15" i="6" s="1"/>
  <c r="D22" i="6" l="1"/>
  <c r="E5" i="6" s="1"/>
  <c r="E15" i="6" s="1"/>
  <c r="E22" i="6" l="1"/>
  <c r="F5" i="6" s="1"/>
  <c r="F15" i="6" l="1"/>
  <c r="F22" i="6" s="1"/>
  <c r="G5" i="6" s="1"/>
  <c r="G15" i="6" l="1"/>
  <c r="G22" i="6" s="1"/>
  <c r="H5" i="6" s="1"/>
  <c r="H15" i="6" l="1"/>
  <c r="H22" i="6" s="1"/>
</calcChain>
</file>

<file path=xl/sharedStrings.xml><?xml version="1.0" encoding="utf-8"?>
<sst xmlns="http://schemas.openxmlformats.org/spreadsheetml/2006/main" count="346" uniqueCount="260">
  <si>
    <t>31000 · General Property Taxes</t>
  </si>
  <si>
    <t>31010 · Current Property Taxes</t>
  </si>
  <si>
    <t>31020 · Delinquent Property Taxes</t>
  </si>
  <si>
    <t>Total 31000 · General Property Taxes</t>
  </si>
  <si>
    <t>31900 · Delinquent Taxes</t>
  </si>
  <si>
    <t>31920 · Tax Forfeiture Sales</t>
  </si>
  <si>
    <t>Total 31900 · Delinquent Taxes</t>
  </si>
  <si>
    <t>32000 · Licenses and Permits</t>
  </si>
  <si>
    <t>32110 · Alcoholic Beverages</t>
  </si>
  <si>
    <t>Total 32000 · Licenses and Permits</t>
  </si>
  <si>
    <t>33000 · Intergovernmental Revenues</t>
  </si>
  <si>
    <t>33400 · State Grants and Aids.</t>
  </si>
  <si>
    <t>33401 · Local Government Aid</t>
  </si>
  <si>
    <t>33418 · Refund of Gas Tax</t>
  </si>
  <si>
    <t>33428 · Payments in Lieu of Taxes</t>
  </si>
  <si>
    <t>Total 33400 · State Grants and Aids.</t>
  </si>
  <si>
    <t>Total 33000 · Intergovernmental Revenues</t>
  </si>
  <si>
    <t>34000 · Charges for Services</t>
  </si>
  <si>
    <t>34100 · General Government</t>
  </si>
  <si>
    <t>34102 · Recording Fees</t>
  </si>
  <si>
    <t>34103 · Zoning and Subdivision Fees</t>
  </si>
  <si>
    <t>34111 · Variance Application Fees</t>
  </si>
  <si>
    <t>Total 34100 · General Government</t>
  </si>
  <si>
    <t>Total 34000 · Charges for Services</t>
  </si>
  <si>
    <t>36200 · Miscellaneous Revenues</t>
  </si>
  <si>
    <t>36210 · Interest Earnings</t>
  </si>
  <si>
    <t>36230 · Donations from Private Sources</t>
  </si>
  <si>
    <t>36200 · Miscellaneous Revenues - Other</t>
  </si>
  <si>
    <t>Total 36200 · Miscellaneous Revenues</t>
  </si>
  <si>
    <t>Expense</t>
  </si>
  <si>
    <t>41000 · General Government</t>
  </si>
  <si>
    <t>41100 · Legislative</t>
  </si>
  <si>
    <t>41110 · Township Board</t>
  </si>
  <si>
    <t>103.1 · Part-Time Employee Wages</t>
  </si>
  <si>
    <t>119.1 · Personal Mileage Reimbursement</t>
  </si>
  <si>
    <t>122.1 · FICA Contributions</t>
  </si>
  <si>
    <t>142.1 · Unemployment Comp Benefits</t>
  </si>
  <si>
    <t>Total 41110 · Township Board</t>
  </si>
  <si>
    <t>Total 41100 · Legislative</t>
  </si>
  <si>
    <t>41400 · Township Clerk</t>
  </si>
  <si>
    <t>103.2 · Part-Time Employee Wages</t>
  </si>
  <si>
    <t>121.2 · PERA Contributions</t>
  </si>
  <si>
    <t>122.2 · FICA Contributions</t>
  </si>
  <si>
    <t>41410 · Elections</t>
  </si>
  <si>
    <t>41420 · Recording and Reporting</t>
  </si>
  <si>
    <t>41430 · Other Township Expenses</t>
  </si>
  <si>
    <t>133 · Life Insurance</t>
  </si>
  <si>
    <t>199 · Service / Late Fees</t>
  </si>
  <si>
    <t>201 · Accessories</t>
  </si>
  <si>
    <t>202 · Printing &amp; Copying</t>
  </si>
  <si>
    <t>203 · Paper Products</t>
  </si>
  <si>
    <t>207 · Training &amp; Materials</t>
  </si>
  <si>
    <t>208 · Food and Beverages</t>
  </si>
  <si>
    <t>240.1 · Equipment</t>
  </si>
  <si>
    <t>309 · Website</t>
  </si>
  <si>
    <t>321 · Telephone</t>
  </si>
  <si>
    <t>322 · Postage</t>
  </si>
  <si>
    <t>325 · Internet</t>
  </si>
  <si>
    <t>331 · Travel</t>
  </si>
  <si>
    <t>340 · Advertising</t>
  </si>
  <si>
    <t>361 · General Liability Insurance</t>
  </si>
  <si>
    <t>362 · Property Insurance</t>
  </si>
  <si>
    <t>381 · Electriity</t>
  </si>
  <si>
    <t>383 · Propane</t>
  </si>
  <si>
    <t>385 · Sewer / Septic</t>
  </si>
  <si>
    <t>401 · Building Repair</t>
  </si>
  <si>
    <t>405 · Cleaning Services</t>
  </si>
  <si>
    <t>433 · Dues and Subscriptions</t>
  </si>
  <si>
    <t>490 · Donations to Civic Organization</t>
  </si>
  <si>
    <t>570 · Office Equip and Furnishings</t>
  </si>
  <si>
    <t>41430 · Other Township Expenses - Other</t>
  </si>
  <si>
    <t>Total 41430 · Other Township Expenses</t>
  </si>
  <si>
    <t>Total 41400 · Township Clerk</t>
  </si>
  <si>
    <t>41500 · Financial Management</t>
  </si>
  <si>
    <t>301 · Auditing &amp; Accounting Services</t>
  </si>
  <si>
    <t>41510 · Township Treasurer</t>
  </si>
  <si>
    <t>103.3 · Part-Time Employee Wages</t>
  </si>
  <si>
    <t>122.3 · FICA Contributions</t>
  </si>
  <si>
    <t>Total 41510 · Township Treasurer</t>
  </si>
  <si>
    <t>41550 · Assessment Expenses</t>
  </si>
  <si>
    <t>Total 41500 · Financial Management</t>
  </si>
  <si>
    <t>41600 · Legal Services</t>
  </si>
  <si>
    <t>41900 · Other General Government</t>
  </si>
  <si>
    <t>41910 · Planning and Zoning</t>
  </si>
  <si>
    <t>103.4 · Part-Time Employee Wages</t>
  </si>
  <si>
    <t>122.4 · FICA Contributions</t>
  </si>
  <si>
    <t>41910 · Planning and Zoning - Other</t>
  </si>
  <si>
    <t>Total 41910 · Planning and Zoning</t>
  </si>
  <si>
    <t>41920 · Data Processing</t>
  </si>
  <si>
    <t>Total 41900 · Other General Government</t>
  </si>
  <si>
    <t>41000 · General Government - Other</t>
  </si>
  <si>
    <t>Total 41000 · General Government</t>
  </si>
  <si>
    <t>42000 · Public Safety</t>
  </si>
  <si>
    <t>42200 · Fire</t>
  </si>
  <si>
    <t>42220 · Fire Fighting</t>
  </si>
  <si>
    <t>42260 · Fire Repair Services</t>
  </si>
  <si>
    <t>Total 42200 · Fire</t>
  </si>
  <si>
    <t>42600 · Traffic Signs</t>
  </si>
  <si>
    <t>42700 · Animal Control</t>
  </si>
  <si>
    <t>Total 42000 · Public Safety</t>
  </si>
  <si>
    <t>43000 · Public Works</t>
  </si>
  <si>
    <t>43100 · Highways, Streets and Roadways</t>
  </si>
  <si>
    <t>212 · Motor Fuels</t>
  </si>
  <si>
    <t>213 · Lubricants and Additives</t>
  </si>
  <si>
    <t>215 · Shop Materials</t>
  </si>
  <si>
    <t>220 · Repair and Maintenance Supplies</t>
  </si>
  <si>
    <t>224 · Road Materials</t>
  </si>
  <si>
    <t>240.2 · Small Tools and Minor Equipment</t>
  </si>
  <si>
    <t>303 · Engineering and Surveying Fees</t>
  </si>
  <si>
    <t>334 · Vehicle Registration / Tabs</t>
  </si>
  <si>
    <t>363 · Automobile Insurance</t>
  </si>
  <si>
    <t>404 · Machinery and Equipment Repair</t>
  </si>
  <si>
    <t>416 · Machinery Rental</t>
  </si>
  <si>
    <t>43122 · Road Maintenance</t>
  </si>
  <si>
    <t>103.5 · Part-time Employee Wages</t>
  </si>
  <si>
    <t>121.5 · PERA Contributions</t>
  </si>
  <si>
    <t>122.5 · FICA Contributions</t>
  </si>
  <si>
    <t>125.5 · Other Retirement</t>
  </si>
  <si>
    <t>131.5 · Health Insurance</t>
  </si>
  <si>
    <t>43122 · Road Maintenance - Other</t>
  </si>
  <si>
    <t>Total 43122 · Road Maintenance</t>
  </si>
  <si>
    <t>43126 · Road Equipment</t>
  </si>
  <si>
    <t>43100 · Highways, Streets and Roadways - Other</t>
  </si>
  <si>
    <t>Total 43100 · Highways, Streets and Roadways</t>
  </si>
  <si>
    <t>43200 · Sanitation</t>
  </si>
  <si>
    <t>Total 43000 · Public Works</t>
  </si>
  <si>
    <t>47000 · Debt Service</t>
  </si>
  <si>
    <t>47210 · Bond Interest Payments</t>
  </si>
  <si>
    <t>Total 47000 · Debt Service</t>
  </si>
  <si>
    <t>66000 · Payroll Expenses</t>
  </si>
  <si>
    <t>Total Expense</t>
  </si>
  <si>
    <t>34110 · Septic Permit</t>
  </si>
  <si>
    <t>121.1 · PERA Contributions</t>
  </si>
  <si>
    <t>119.2 · Personal Mileage Reimbursement</t>
  </si>
  <si>
    <t>151 · Worker's Comp Insurance</t>
  </si>
  <si>
    <t>41510 · Township Treasurer - Other</t>
  </si>
  <si>
    <t>41500 · Financial Management - Other</t>
  </si>
  <si>
    <t>119.4 · Personal Mileage Reimbursement</t>
  </si>
  <si>
    <t>121.4 · PERA Contributions</t>
  </si>
  <si>
    <t>41940 · Building Maintenance</t>
  </si>
  <si>
    <t>119.5 · Personal Mileage Reimbursement</t>
  </si>
  <si>
    <t>211 · Cleaning Supplies</t>
  </si>
  <si>
    <t>222 · Tires</t>
  </si>
  <si>
    <t>44000 · Health and Welfare</t>
  </si>
  <si>
    <t>44133 · Sanitary Sewer Inspection</t>
  </si>
  <si>
    <t>Total 44000 · Health and Welfare</t>
  </si>
  <si>
    <t>66900 · Reconciliation Discrepancies</t>
  </si>
  <si>
    <t>384 · Garbage Disposal</t>
  </si>
  <si>
    <t>112.5 · Admin/Union Dues Contribution</t>
  </si>
  <si>
    <t>121.3 · PERA Contributions</t>
  </si>
  <si>
    <t>Notes</t>
  </si>
  <si>
    <t>QuickBooks payroll fee</t>
  </si>
  <si>
    <t>Chip Sealing</t>
  </si>
  <si>
    <t>Striping</t>
  </si>
  <si>
    <t>Delayed invoices</t>
  </si>
  <si>
    <t>Gravel and salt, culverts</t>
  </si>
  <si>
    <t>Gravel hauling</t>
  </si>
  <si>
    <t>Document R/O/W for all Roads</t>
  </si>
  <si>
    <t>Miles of roads: 48.6   Number of roads: 79</t>
  </si>
  <si>
    <t>R/O/W road platting; Harmony/Parkview/Sturgeon Island Rd engineering</t>
  </si>
  <si>
    <t>Box culvert</t>
  </si>
  <si>
    <t>Actual</t>
  </si>
  <si>
    <t>2019</t>
  </si>
  <si>
    <t>Plan for a 5-year audit cycle</t>
  </si>
  <si>
    <t>SUMMARY</t>
  </si>
  <si>
    <t>Levy Revenue</t>
  </si>
  <si>
    <t>Other Revenue</t>
  </si>
  <si>
    <t>Operating Expenses</t>
  </si>
  <si>
    <t>Difference</t>
  </si>
  <si>
    <t>Revenue</t>
  </si>
  <si>
    <t>Total Revenue</t>
  </si>
  <si>
    <t>41400 · Clerk &amp; Operations</t>
  </si>
  <si>
    <t>41100 · Supervisory</t>
  </si>
  <si>
    <t>41500 · Treasurer &amp; Financial Mgmt</t>
  </si>
  <si>
    <t>41900 · Planning &amp; Zonging / Other</t>
  </si>
  <si>
    <t>42000 · Public Safety &amp; Fire</t>
  </si>
  <si>
    <t>43000 · Highways, Streets, Bridges</t>
  </si>
  <si>
    <t>Revenue/Expense</t>
  </si>
  <si>
    <t>Sturgeon Island Bridge</t>
  </si>
  <si>
    <t>2023</t>
  </si>
  <si>
    <t>5 year</t>
  </si>
  <si>
    <t>Gravel Crushing</t>
  </si>
  <si>
    <t>Budget</t>
  </si>
  <si>
    <t>2020</t>
  </si>
  <si>
    <t>4 Yr Average</t>
  </si>
  <si>
    <t>2024</t>
  </si>
  <si>
    <t>Star Gazette and Evergreen duplicate ads</t>
  </si>
  <si>
    <t>Viking, Windemere Way, Runestone, Chestnut Circle, Hemlock, Pine Tree Ln</t>
  </si>
  <si>
    <t>Island Lake Rd (north end) culvert</t>
  </si>
  <si>
    <t>Trailer</t>
  </si>
  <si>
    <t>Galen Neigum electrical work.  Replace shop lights with LED.</t>
  </si>
  <si>
    <t>Equipment rental</t>
  </si>
  <si>
    <t>Windemere Township 5-Year Capital Expenses Projection</t>
  </si>
  <si>
    <t>Administrative Operating Expenses</t>
  </si>
  <si>
    <t>Road Operations Expenses</t>
  </si>
  <si>
    <t>2021 Budget Summary</t>
  </si>
  <si>
    <t>2020 Actual</t>
  </si>
  <si>
    <t>2021</t>
  </si>
  <si>
    <t>2025</t>
  </si>
  <si>
    <t>Project</t>
  </si>
  <si>
    <t>Project Notes</t>
  </si>
  <si>
    <t>Road Construction</t>
  </si>
  <si>
    <t>Acct 43100</t>
  </si>
  <si>
    <t>Acct 303</t>
  </si>
  <si>
    <t>Road Materials</t>
  </si>
  <si>
    <t>Acct 224</t>
  </si>
  <si>
    <t>Capital Equipment</t>
  </si>
  <si>
    <t>Acct 43126</t>
  </si>
  <si>
    <t>Building Maintenance</t>
  </si>
  <si>
    <t>Acct 41940</t>
  </si>
  <si>
    <t>Machinery Rental</t>
  </si>
  <si>
    <t>Acct 416</t>
  </si>
  <si>
    <t>2022</t>
  </si>
  <si>
    <t>Kiminski Paving</t>
  </si>
  <si>
    <t>Asphalt</t>
  </si>
  <si>
    <t>Parkview Ln</t>
  </si>
  <si>
    <t>Palon Rd</t>
  </si>
  <si>
    <t>Harmony Ln</t>
  </si>
  <si>
    <t>Unknown culvert projects</t>
  </si>
  <si>
    <t>Birchview</t>
  </si>
  <si>
    <t>Rush Blvd</t>
  </si>
  <si>
    <t>Equipment Replacement Fund</t>
  </si>
  <si>
    <t>TOTAL</t>
  </si>
  <si>
    <t>Capital Project Expenses</t>
  </si>
  <si>
    <t>Board's Recommended 2022 Levy</t>
  </si>
  <si>
    <t>Engineer / Survey</t>
  </si>
  <si>
    <t>Windemere Township 2021 Budget Estimating Worksheet</t>
  </si>
  <si>
    <r>
      <rPr>
        <b/>
        <sz val="11"/>
        <color rgb="FFFF0000"/>
        <rFont val="Calibri"/>
        <family val="2"/>
        <scheme val="minor"/>
      </rPr>
      <t>Capital Improvements</t>
    </r>
    <r>
      <rPr>
        <sz val="11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</si>
  <si>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Balsam Rd</t>
  </si>
  <si>
    <t>Possible cost sharing with Soil Water Cons</t>
  </si>
  <si>
    <t>Miles of roads: 48.6   Number of roads: 79.  38 roads to be platted.</t>
  </si>
  <si>
    <t>Island Lake Road (slumping)</t>
  </si>
  <si>
    <t>Gravel already crushed</t>
  </si>
  <si>
    <t>Asphalt ($90 / ton est).  Some estimate $65 / ton</t>
  </si>
  <si>
    <t>Palon, Sturg Island, Sturg Island Loop, Parkview, Majestic Pine, Northstar</t>
  </si>
  <si>
    <t>113.5 - Apprenticeship Contriubtion</t>
  </si>
  <si>
    <t>Available Cash on Hand: Start of Year</t>
  </si>
  <si>
    <t>Available Cash on Hand: End of Year</t>
  </si>
  <si>
    <t>$400k Levy set at March, 2020 annual meeting</t>
  </si>
  <si>
    <t>Mike, Dennis, Verizon</t>
  </si>
  <si>
    <t>Cash in Reserves: End of Year</t>
  </si>
  <si>
    <t>Total Cash: End of Year</t>
  </si>
  <si>
    <t>Transfer to Reserves</t>
  </si>
  <si>
    <t>Transfer from Reserves</t>
  </si>
  <si>
    <t>Windemere Township Board's 5-Year Cash Flow Projection</t>
  </si>
  <si>
    <t>Capital Improvements</t>
  </si>
  <si>
    <t>Sturgeon Island Rd (Seg 1)</t>
  </si>
  <si>
    <t>Sturgeon Island Rd (Seg 2)</t>
  </si>
  <si>
    <t>Hill St to County 46</t>
  </si>
  <si>
    <t>Bridge to Hill St.  Reclaim south portion</t>
  </si>
  <si>
    <t>Ballpark guess</t>
  </si>
  <si>
    <t>Emergency Fund (1/2 of Operating)</t>
  </si>
  <si>
    <r>
      <t xml:space="preserve">Note:  "Pro forma" models the anticipated results of the 5-year planned budget, with particular emphasis on the projected cash flows, net revenues and tax levies.
</t>
    </r>
    <r>
      <rPr>
        <b/>
        <sz val="12"/>
        <color rgb="FFFF0000"/>
        <rFont val="Calibri"/>
        <family val="2"/>
        <scheme val="minor"/>
      </rPr>
      <t>Capital Projects</t>
    </r>
    <r>
      <rPr>
        <b/>
        <sz val="12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</si>
  <si>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Increase / Decrease over prior Year</t>
  </si>
  <si>
    <t>Citizen's Approved 2022 Levy</t>
  </si>
  <si>
    <t>Building Fund</t>
  </si>
  <si>
    <t>NOTE: Removed three years of adding to building fund ($40,000 / year from 2022-2024) and $250k gravel pit storage shed expense in 2025</t>
  </si>
  <si>
    <t>NOTE 2: This cash flow models a levy increase starting in 2023</t>
  </si>
  <si>
    <t>NOTE 1: Change made on 5/13/2021 to 1) remove funding and expense for a $250k gravel pit storage shed and to 2) adjust 2022 Levy Revenue</t>
  </si>
  <si>
    <t>NOTE 2: This cash flow models no levy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</si>
</sst>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0;\-#,##0.00"/>
    <numFmt numFmtId="166" formatCode="0_);\(0\)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32323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2" fillId="2" borderId="0" xfId="1" applyFont="1" applyFill="1" applyAlignment="1">
      <alignment horizontal="center"/>
    </xf>
    <xf numFmtId="43" fontId="0" fillId="2" borderId="0" xfId="1" applyFont="1" applyFill="1"/>
    <xf numFmtId="43" fontId="6" fillId="2" borderId="0" xfId="1" applyFont="1" applyFill="1"/>
    <xf numFmtId="3" fontId="0" fillId="0" borderId="0" xfId="0" applyNumberForma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3" fontId="11" fillId="0" borderId="0" xfId="0" applyNumberFormat="1" applyFont="1"/>
    <xf numFmtId="49" fontId="9" fillId="0" borderId="0" xfId="0" applyNumberFormat="1" applyFont="1" applyAlignment="1">
      <alignment horizontal="left"/>
    </xf>
    <xf numFmtId="3" fontId="9" fillId="0" borderId="0" xfId="0" applyNumberFormat="1" applyFont="1"/>
    <xf numFmtId="0" fontId="4" fillId="0" borderId="0" xfId="0" applyFont="1" applyAlignment="1">
      <alignment horizontal="right"/>
    </xf>
    <xf numFmtId="43" fontId="14" fillId="0" borderId="0" xfId="1" applyFont="1"/>
    <xf numFmtId="43" fontId="2" fillId="2" borderId="0" xfId="1" quotePrefix="1" applyFont="1" applyFill="1" applyAlignment="1">
      <alignment horizontal="center"/>
    </xf>
    <xf numFmtId="43" fontId="2" fillId="0" borderId="0" xfId="1" quotePrefix="1" applyFont="1" applyAlignment="1">
      <alignment horizontal="center"/>
    </xf>
    <xf numFmtId="0" fontId="6" fillId="0" borderId="0" xfId="0" applyFont="1"/>
    <xf numFmtId="43" fontId="7" fillId="0" borderId="0" xfId="1" applyFont="1"/>
    <xf numFmtId="10" fontId="0" fillId="0" borderId="0" xfId="4" applyNumberFormat="1" applyFont="1"/>
    <xf numFmtId="10" fontId="15" fillId="0" borderId="0" xfId="4" applyNumberFormat="1" applyFont="1"/>
    <xf numFmtId="0" fontId="7" fillId="0" borderId="0" xfId="0" applyFont="1" applyAlignment="1"/>
    <xf numFmtId="0" fontId="2" fillId="0" borderId="0" xfId="0" applyFont="1" applyFill="1" applyAlignment="1">
      <alignment horizontal="right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2" fillId="0" borderId="0" xfId="0" applyFont="1" applyFill="1" applyAlignment="1">
      <alignment horizontal="left"/>
    </xf>
    <xf numFmtId="43" fontId="2" fillId="0" borderId="0" xfId="0" applyNumberFormat="1" applyFont="1" applyFill="1" applyAlignment="1">
      <alignment textRotation="90"/>
    </xf>
    <xf numFmtId="0" fontId="2" fillId="0" borderId="0" xfId="0" quotePrefix="1" applyFont="1"/>
    <xf numFmtId="43" fontId="2" fillId="0" borderId="0" xfId="1" applyFont="1" applyFill="1" applyAlignment="1"/>
    <xf numFmtId="4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2" fillId="0" borderId="0" xfId="1" quotePrefix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5" fontId="16" fillId="0" borderId="0" xfId="0" applyNumberFormat="1" applyFont="1"/>
    <xf numFmtId="3" fontId="8" fillId="0" borderId="0" xfId="0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/>
    </xf>
    <xf numFmtId="43" fontId="2" fillId="2" borderId="0" xfId="1" applyFont="1" applyFill="1"/>
    <xf numFmtId="0" fontId="4" fillId="0" borderId="0" xfId="0" applyFont="1" applyAlignment="1">
      <alignment horizontal="left" indent="2"/>
    </xf>
    <xf numFmtId="3" fontId="8" fillId="5" borderId="0" xfId="0" applyNumberFormat="1" applyFont="1" applyFill="1"/>
    <xf numFmtId="167" fontId="0" fillId="0" borderId="0" xfId="4" applyNumberFormat="1" applyFont="1" applyFill="1"/>
    <xf numFmtId="3" fontId="8" fillId="0" borderId="0" xfId="0" applyNumberFormat="1" applyFont="1" applyAlignment="1">
      <alignment horizontal="right" vertical="center"/>
    </xf>
    <xf numFmtId="3" fontId="11" fillId="4" borderId="0" xfId="0" applyNumberFormat="1" applyFont="1" applyFill="1"/>
    <xf numFmtId="164" fontId="12" fillId="4" borderId="0" xfId="3" applyNumberFormat="1" applyFont="1" applyFill="1"/>
    <xf numFmtId="0" fontId="0" fillId="4" borderId="0" xfId="0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wrapText="1"/>
    </xf>
    <xf numFmtId="0" fontId="0" fillId="4" borderId="0" xfId="0" applyFill="1" applyAlignment="1">
      <alignment horizontal="left"/>
    </xf>
  </cellXfs>
  <cellStyles count="5">
    <cellStyle name="Comma" xfId="1" builtinId="3"/>
    <cellStyle name="Currency" xfId="3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564510</xdr:colOff>
      <xdr:row>33</xdr:row>
      <xdr:rowOff>76730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F20CA-64CE-4FEF-9A30-03FEBA35D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70110" cy="6111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showGridLines="0" zoomScale="120" zoomScaleNormal="120" workbookViewId="0">
      <selection sqref="A1:N1"/>
    </sheetView>
  </sheetViews>
  <sheetFormatPr defaultRowHeight="15" x14ac:dyDescent="0.25"/>
  <cols>
    <col min="1" max="5" width="2.7109375" customWidth="1"/>
    <col min="6" max="6" width="27.5703125" customWidth="1"/>
    <col min="7" max="7" width="13.85546875" bestFit="1" customWidth="1"/>
    <col min="8" max="12" width="2.7109375" customWidth="1"/>
    <col min="13" max="13" width="27.28515625" customWidth="1"/>
    <col min="14" max="14" width="14.140625" bestFit="1" customWidth="1"/>
  </cols>
  <sheetData>
    <row r="1" spans="1:15" ht="21" x14ac:dyDescent="0.35">
      <c r="A1" s="52" t="s">
        <v>195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5.0999999999999996" customHeight="1" x14ac:dyDescent="0.25">
      <c r="G2" s="1"/>
    </row>
    <row r="3" spans="1:15" x14ac:dyDescent="0.25">
      <c r="G3" s="22" t="s">
        <v>197</v>
      </c>
      <c r="N3" s="22" t="s">
        <v>197</v>
      </c>
    </row>
    <row r="4" spans="1:15" x14ac:dyDescent="0.25">
      <c r="B4" s="2" t="s">
        <v>169</v>
      </c>
      <c r="G4" s="4" t="s">
        <v>182</v>
      </c>
      <c r="I4" s="2" t="s">
        <v>29</v>
      </c>
      <c r="N4" s="4" t="s">
        <v>182</v>
      </c>
    </row>
    <row r="5" spans="1:15" x14ac:dyDescent="0.25">
      <c r="C5" t="s">
        <v>0</v>
      </c>
      <c r="G5" s="1">
        <f>BUDGET!H11</f>
        <v>405000</v>
      </c>
      <c r="J5" t="s">
        <v>30</v>
      </c>
      <c r="N5" s="1"/>
    </row>
    <row r="6" spans="1:15" x14ac:dyDescent="0.25">
      <c r="C6" t="s">
        <v>4</v>
      </c>
      <c r="G6" s="1">
        <f>BUDGET!H14</f>
        <v>7000</v>
      </c>
      <c r="K6" t="s">
        <v>172</v>
      </c>
      <c r="N6" s="1">
        <f>BUDGET!H49</f>
        <v>10915</v>
      </c>
      <c r="O6" s="25">
        <f>N6/$N$15</f>
        <v>1.0030564503904498E-2</v>
      </c>
    </row>
    <row r="7" spans="1:15" x14ac:dyDescent="0.25">
      <c r="C7" t="s">
        <v>7</v>
      </c>
      <c r="G7" s="1">
        <f>BUDGET!H17</f>
        <v>0</v>
      </c>
      <c r="K7" t="s">
        <v>171</v>
      </c>
      <c r="N7" s="1">
        <f>BUDGET!H86</f>
        <v>70022.5</v>
      </c>
      <c r="O7" s="25">
        <f t="shared" ref="O7:O14" si="0">N7/$N$15</f>
        <v>6.4348621436065304E-2</v>
      </c>
    </row>
    <row r="8" spans="1:15" x14ac:dyDescent="0.25">
      <c r="C8" t="s">
        <v>10</v>
      </c>
      <c r="G8" s="1">
        <f>BUDGET!H24</f>
        <v>47800</v>
      </c>
      <c r="K8" t="s">
        <v>173</v>
      </c>
      <c r="N8" s="1">
        <f>BUDGET!H97</f>
        <v>30885.5</v>
      </c>
      <c r="O8" s="25">
        <f t="shared" si="0"/>
        <v>2.8382867612033201E-2</v>
      </c>
    </row>
    <row r="9" spans="1:15" x14ac:dyDescent="0.25">
      <c r="C9" t="s">
        <v>17</v>
      </c>
      <c r="G9" s="1">
        <f>BUDGET!H32</f>
        <v>6000</v>
      </c>
      <c r="K9" t="s">
        <v>81</v>
      </c>
      <c r="N9" s="1">
        <f>BUDGET!H98</f>
        <v>5000</v>
      </c>
      <c r="O9" s="25">
        <f t="shared" si="0"/>
        <v>4.5948531854807604E-3</v>
      </c>
    </row>
    <row r="10" spans="1:15" ht="17.25" x14ac:dyDescent="0.4">
      <c r="C10" t="s">
        <v>24</v>
      </c>
      <c r="G10" s="1">
        <f>BUDGET!H37</f>
        <v>7500</v>
      </c>
      <c r="K10" t="s">
        <v>174</v>
      </c>
      <c r="N10" s="20">
        <f>BUDGET!H109</f>
        <v>21951.25</v>
      </c>
      <c r="O10" s="26">
        <f t="shared" si="0"/>
        <v>2.0172554197556907E-2</v>
      </c>
    </row>
    <row r="11" spans="1:15" x14ac:dyDescent="0.25">
      <c r="B11" s="2" t="s">
        <v>170</v>
      </c>
      <c r="G11" s="3">
        <f>SUM(G5:G10)</f>
        <v>473300</v>
      </c>
      <c r="J11" t="s">
        <v>91</v>
      </c>
      <c r="N11" s="1">
        <f>SUM(N6:N10)</f>
        <v>138774.25</v>
      </c>
      <c r="O11" s="25">
        <f t="shared" si="0"/>
        <v>0.12752946093504067</v>
      </c>
    </row>
    <row r="12" spans="1:15" ht="5.0999999999999996" customHeight="1" x14ac:dyDescent="0.25">
      <c r="B12" s="2"/>
      <c r="G12" s="3"/>
      <c r="N12" s="1"/>
      <c r="O12" s="25"/>
    </row>
    <row r="13" spans="1:15" x14ac:dyDescent="0.25">
      <c r="J13" t="s">
        <v>175</v>
      </c>
      <c r="N13" s="1">
        <f>BUDGET!H119</f>
        <v>88850</v>
      </c>
      <c r="O13" s="25">
        <f t="shared" si="0"/>
        <v>8.165054110599311E-2</v>
      </c>
    </row>
    <row r="14" spans="1:15" ht="17.25" x14ac:dyDescent="0.4">
      <c r="J14" t="s">
        <v>176</v>
      </c>
      <c r="N14" s="20">
        <f>BUDGET!H150</f>
        <v>860549.8</v>
      </c>
      <c r="O14" s="25">
        <f t="shared" si="0"/>
        <v>0.79081999795896618</v>
      </c>
    </row>
    <row r="15" spans="1:15" x14ac:dyDescent="0.25">
      <c r="I15" s="2" t="s">
        <v>130</v>
      </c>
      <c r="N15" s="3">
        <f>N11+N13+N14</f>
        <v>1088174.05</v>
      </c>
    </row>
    <row r="16" spans="1:15" ht="5.0999999999999996" customHeight="1" x14ac:dyDescent="0.25">
      <c r="I16" s="2"/>
      <c r="N16" s="1"/>
    </row>
    <row r="17" spans="9:14" x14ac:dyDescent="0.25">
      <c r="I17" s="2" t="s">
        <v>168</v>
      </c>
      <c r="N17" s="3">
        <f>G11-N15</f>
        <v>-614874.05000000005</v>
      </c>
    </row>
  </sheetData>
  <mergeCells count="1">
    <mergeCell ref="A1:N1"/>
  </mergeCells>
  <pageMargins left="0.25" right="0.25" top="0.75" bottom="0.75" header="0.3" footer="0.3"/>
  <pageSetup orientation="landscape" r:id="rId1"/>
  <ignoredErrors>
    <ignoredError sqref="G3:N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2"/>
  <sheetViews>
    <sheetView zoomScale="110" zoomScaleNormal="11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6" width="2.7109375" customWidth="1"/>
    <col min="7" max="7" width="39.7109375" customWidth="1"/>
    <col min="8" max="8" width="13.28515625" bestFit="1" customWidth="1"/>
    <col min="9" max="9" width="13.28515625" customWidth="1"/>
    <col min="10" max="10" width="13.7109375" bestFit="1" customWidth="1"/>
    <col min="11" max="11" width="13.7109375" customWidth="1"/>
    <col min="12" max="12" width="13.85546875" bestFit="1" customWidth="1"/>
    <col min="13" max="13" width="12.85546875" style="1" bestFit="1" customWidth="1"/>
    <col min="14" max="14" width="12.28515625" style="1" bestFit="1" customWidth="1"/>
    <col min="15" max="15" width="13.42578125" style="1" bestFit="1" customWidth="1"/>
    <col min="16" max="16" width="68.7109375" style="1" bestFit="1" customWidth="1"/>
  </cols>
  <sheetData>
    <row r="1" spans="1:16" ht="21" x14ac:dyDescent="0.35">
      <c r="A1" s="52" t="s">
        <v>226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x14ac:dyDescent="0.25">
      <c r="J2" s="30"/>
      <c r="K2" s="30"/>
      <c r="L2" s="1"/>
    </row>
    <row r="3" spans="1:16" x14ac:dyDescent="0.25">
      <c r="H3" s="21" t="s">
        <v>197</v>
      </c>
      <c r="I3" s="39" t="s">
        <v>183</v>
      </c>
      <c r="J3" s="39" t="s">
        <v>183</v>
      </c>
      <c r="K3" s="4" t="s">
        <v>162</v>
      </c>
      <c r="L3" s="4" t="s">
        <v>162</v>
      </c>
      <c r="M3" s="43">
        <v>2018</v>
      </c>
      <c r="N3" s="43">
        <v>2017</v>
      </c>
      <c r="O3" s="4"/>
    </row>
    <row r="4" spans="1:16" x14ac:dyDescent="0.25">
      <c r="H4" s="5" t="s">
        <v>182</v>
      </c>
      <c r="I4" s="4" t="s">
        <v>161</v>
      </c>
      <c r="J4" s="40" t="s">
        <v>182</v>
      </c>
      <c r="K4" s="4" t="s">
        <v>161</v>
      </c>
      <c r="L4" s="4" t="s">
        <v>182</v>
      </c>
      <c r="M4" s="4" t="s">
        <v>161</v>
      </c>
      <c r="N4" s="4" t="s">
        <v>161</v>
      </c>
      <c r="O4" s="4" t="s">
        <v>184</v>
      </c>
      <c r="P4" s="3" t="s">
        <v>150</v>
      </c>
    </row>
    <row r="5" spans="1:16" x14ac:dyDescent="0.25">
      <c r="H5" s="5"/>
      <c r="I5" s="4"/>
      <c r="J5" s="40"/>
      <c r="K5" s="4"/>
      <c r="L5" s="4"/>
      <c r="M5" s="4"/>
      <c r="N5" s="4"/>
      <c r="O5" s="4"/>
      <c r="P5" s="3"/>
    </row>
    <row r="6" spans="1:16" x14ac:dyDescent="0.25">
      <c r="B6" s="2" t="s">
        <v>177</v>
      </c>
      <c r="H6" s="6"/>
      <c r="I6" s="1"/>
      <c r="J6" s="30"/>
      <c r="K6" s="1"/>
      <c r="L6" s="1"/>
    </row>
    <row r="7" spans="1:16" x14ac:dyDescent="0.25">
      <c r="C7" t="s">
        <v>169</v>
      </c>
      <c r="H7" s="6"/>
      <c r="I7" s="1"/>
      <c r="J7" s="30"/>
      <c r="K7" s="1"/>
      <c r="L7" s="1"/>
    </row>
    <row r="8" spans="1:16" ht="15.75" x14ac:dyDescent="0.25">
      <c r="D8" t="s">
        <v>0</v>
      </c>
      <c r="H8" s="6"/>
      <c r="I8" s="1"/>
      <c r="J8" s="30"/>
      <c r="K8" s="1"/>
      <c r="L8" s="1"/>
      <c r="M8" s="41"/>
      <c r="N8" s="41"/>
    </row>
    <row r="9" spans="1:16" x14ac:dyDescent="0.25">
      <c r="E9" t="s">
        <v>1</v>
      </c>
      <c r="H9" s="6">
        <v>385000</v>
      </c>
      <c r="I9" s="1">
        <v>389271.43</v>
      </c>
      <c r="J9" s="30">
        <v>385000</v>
      </c>
      <c r="K9" s="1">
        <v>387851.79</v>
      </c>
      <c r="L9" s="1">
        <v>390000</v>
      </c>
      <c r="M9" s="1">
        <v>762360.43</v>
      </c>
      <c r="N9" s="1">
        <v>762519.89</v>
      </c>
      <c r="O9" s="1">
        <f>(+N9+M9+K9+I9)/4</f>
        <v>575500.88500000001</v>
      </c>
      <c r="P9" s="1" t="s">
        <v>238</v>
      </c>
    </row>
    <row r="10" spans="1:16" x14ac:dyDescent="0.25">
      <c r="E10" t="s">
        <v>2</v>
      </c>
      <c r="H10" s="6">
        <v>20000</v>
      </c>
      <c r="I10" s="1">
        <v>57479.46</v>
      </c>
      <c r="J10" s="30">
        <f>20000+50000</f>
        <v>70000</v>
      </c>
      <c r="K10" s="1">
        <v>22158.31</v>
      </c>
      <c r="L10" s="1">
        <v>55000</v>
      </c>
      <c r="M10" s="1">
        <v>15044.97</v>
      </c>
      <c r="N10" s="1">
        <v>9620.08</v>
      </c>
      <c r="O10" s="1">
        <f>(+N10+M10+K10+I10)/4</f>
        <v>26075.705000000002</v>
      </c>
    </row>
    <row r="11" spans="1:16" x14ac:dyDescent="0.25">
      <c r="D11" t="s">
        <v>3</v>
      </c>
      <c r="H11" s="6">
        <f>SUM(H9:H10)</f>
        <v>405000</v>
      </c>
      <c r="I11" s="1">
        <f>SUM(I9:I10)</f>
        <v>446750.89</v>
      </c>
      <c r="J11" s="1">
        <f t="shared" ref="J11:L11" si="0">SUM(J9:J10)</f>
        <v>455000</v>
      </c>
      <c r="K11" s="1">
        <f t="shared" si="0"/>
        <v>410010.1</v>
      </c>
      <c r="L11" s="1">
        <f t="shared" si="0"/>
        <v>445000</v>
      </c>
      <c r="M11" s="1">
        <f t="shared" ref="M11" si="1">SUM(M9:M10)</f>
        <v>777405.4</v>
      </c>
      <c r="N11" s="1">
        <f t="shared" ref="N11" si="2">SUM(N9:N10)</f>
        <v>772139.97</v>
      </c>
      <c r="O11" s="1">
        <f>(+N11+M11+K11+I11)/4</f>
        <v>601576.59000000008</v>
      </c>
    </row>
    <row r="12" spans="1:16" x14ac:dyDescent="0.25">
      <c r="D12" t="s">
        <v>4</v>
      </c>
      <c r="H12" s="6"/>
      <c r="I12" s="1"/>
      <c r="J12" s="30"/>
      <c r="K12" s="1"/>
      <c r="L12" s="1"/>
    </row>
    <row r="13" spans="1:16" x14ac:dyDescent="0.25">
      <c r="E13" t="s">
        <v>5</v>
      </c>
      <c r="H13" s="6">
        <v>7000</v>
      </c>
      <c r="I13" s="1">
        <v>5267.57</v>
      </c>
      <c r="J13" s="30">
        <v>2000</v>
      </c>
      <c r="K13" s="1">
        <v>2116.64</v>
      </c>
      <c r="L13" s="1">
        <v>1750</v>
      </c>
      <c r="M13" s="1">
        <v>1844.74</v>
      </c>
      <c r="N13" s="1">
        <v>1879.27</v>
      </c>
      <c r="O13" s="1">
        <f>(+N13+M13+K13+I13)/4</f>
        <v>2777.0549999999998</v>
      </c>
    </row>
    <row r="14" spans="1:16" x14ac:dyDescent="0.25">
      <c r="D14" t="s">
        <v>6</v>
      </c>
      <c r="H14" s="6">
        <f>H13</f>
        <v>7000</v>
      </c>
      <c r="I14" s="1">
        <f t="shared" ref="I14:N14" si="3">I13</f>
        <v>5267.57</v>
      </c>
      <c r="J14" s="30">
        <f t="shared" si="3"/>
        <v>2000</v>
      </c>
      <c r="K14" s="1">
        <f t="shared" si="3"/>
        <v>2116.64</v>
      </c>
      <c r="L14" s="1">
        <f t="shared" si="3"/>
        <v>1750</v>
      </c>
      <c r="M14" s="1">
        <f t="shared" si="3"/>
        <v>1844.74</v>
      </c>
      <c r="N14" s="1">
        <f t="shared" si="3"/>
        <v>1879.27</v>
      </c>
      <c r="O14" s="1">
        <f>(+N14+M14+K14+I14)/4</f>
        <v>2777.0549999999998</v>
      </c>
    </row>
    <row r="15" spans="1:16" x14ac:dyDescent="0.25">
      <c r="D15" t="s">
        <v>7</v>
      </c>
      <c r="H15" s="6"/>
      <c r="I15" s="1"/>
      <c r="J15" s="30"/>
      <c r="K15" s="1"/>
      <c r="L15" s="1"/>
    </row>
    <row r="16" spans="1:16" x14ac:dyDescent="0.25">
      <c r="E16" t="s">
        <v>8</v>
      </c>
      <c r="H16" s="6">
        <v>0</v>
      </c>
      <c r="I16" s="1"/>
      <c r="J16" s="30">
        <v>0</v>
      </c>
      <c r="K16" s="1"/>
      <c r="L16" s="1">
        <v>50</v>
      </c>
      <c r="M16" s="1">
        <v>100</v>
      </c>
      <c r="N16" s="1">
        <v>0</v>
      </c>
      <c r="O16" s="1">
        <f>(+N16+M16+K16+I16)/4</f>
        <v>25</v>
      </c>
    </row>
    <row r="17" spans="4:15" x14ac:dyDescent="0.25">
      <c r="D17" t="s">
        <v>9</v>
      </c>
      <c r="H17" s="6">
        <f>H16</f>
        <v>0</v>
      </c>
      <c r="I17" s="1"/>
      <c r="J17" s="30">
        <f>J16</f>
        <v>0</v>
      </c>
      <c r="K17" s="1"/>
      <c r="L17" s="1">
        <f>L16</f>
        <v>50</v>
      </c>
      <c r="M17" s="1">
        <f>M16</f>
        <v>100</v>
      </c>
      <c r="N17" s="1">
        <f>N16</f>
        <v>0</v>
      </c>
      <c r="O17" s="1">
        <f>(+N17+M17+K17+I17)/4</f>
        <v>25</v>
      </c>
    </row>
    <row r="18" spans="4:15" x14ac:dyDescent="0.25">
      <c r="D18" t="s">
        <v>10</v>
      </c>
      <c r="H18" s="6"/>
      <c r="I18" s="1"/>
      <c r="J18" s="30"/>
      <c r="K18" s="1"/>
      <c r="L18" s="1"/>
    </row>
    <row r="19" spans="4:15" x14ac:dyDescent="0.25">
      <c r="E19" t="s">
        <v>11</v>
      </c>
      <c r="H19" s="6"/>
      <c r="I19" s="1"/>
      <c r="J19" s="30"/>
      <c r="K19" s="1"/>
      <c r="L19" s="1"/>
    </row>
    <row r="20" spans="4:15" x14ac:dyDescent="0.25">
      <c r="F20" t="s">
        <v>12</v>
      </c>
      <c r="H20" s="6">
        <v>6000</v>
      </c>
      <c r="I20" s="1">
        <v>21831.9</v>
      </c>
      <c r="J20" s="30">
        <v>6000</v>
      </c>
      <c r="K20" s="1">
        <v>6419.37</v>
      </c>
      <c r="L20" s="1">
        <v>8000</v>
      </c>
      <c r="M20" s="1">
        <v>7458.44</v>
      </c>
      <c r="N20" s="1">
        <v>8378.11</v>
      </c>
      <c r="O20" s="1">
        <f t="shared" ref="O20:O24" si="4">(+N20+M20+K20+I20)/4</f>
        <v>11021.955</v>
      </c>
    </row>
    <row r="21" spans="4:15" x14ac:dyDescent="0.25">
      <c r="F21" t="s">
        <v>13</v>
      </c>
      <c r="H21" s="6">
        <v>40000</v>
      </c>
      <c r="I21" s="1">
        <v>41385.919999999998</v>
      </c>
      <c r="J21" s="30">
        <v>40000</v>
      </c>
      <c r="K21" s="1">
        <v>39675.03</v>
      </c>
      <c r="L21" s="1">
        <v>40000</v>
      </c>
      <c r="M21" s="1">
        <v>40011.279999999999</v>
      </c>
      <c r="N21" s="1">
        <v>34251.01</v>
      </c>
      <c r="O21" s="1">
        <f t="shared" si="4"/>
        <v>38830.81</v>
      </c>
    </row>
    <row r="22" spans="4:15" x14ac:dyDescent="0.25">
      <c r="F22" t="s">
        <v>14</v>
      </c>
      <c r="H22" s="6">
        <v>1800</v>
      </c>
      <c r="I22" s="1">
        <v>1813.73</v>
      </c>
      <c r="J22" s="30">
        <v>1800</v>
      </c>
      <c r="K22" s="1">
        <v>1835.67</v>
      </c>
      <c r="L22" s="1">
        <v>1800</v>
      </c>
      <c r="M22" s="1">
        <v>1834.12</v>
      </c>
      <c r="N22" s="1">
        <v>468.24</v>
      </c>
      <c r="O22" s="1">
        <f t="shared" si="4"/>
        <v>1487.94</v>
      </c>
    </row>
    <row r="23" spans="4:15" x14ac:dyDescent="0.25">
      <c r="E23" t="s">
        <v>15</v>
      </c>
      <c r="H23" s="6">
        <f>SUM(H20:H22)</f>
        <v>47800</v>
      </c>
      <c r="I23" s="1">
        <f t="shared" ref="I23:L23" si="5">SUM(I20:I22)</f>
        <v>65031.55</v>
      </c>
      <c r="J23" s="30">
        <f t="shared" si="5"/>
        <v>47800</v>
      </c>
      <c r="K23" s="1">
        <f t="shared" si="5"/>
        <v>47930.07</v>
      </c>
      <c r="L23" s="1">
        <f t="shared" si="5"/>
        <v>49800</v>
      </c>
      <c r="M23" s="1">
        <f t="shared" ref="M23" si="6">SUM(M20:M22)</f>
        <v>49303.840000000004</v>
      </c>
      <c r="N23" s="1">
        <f t="shared" ref="N23" si="7">SUM(N20:N22)</f>
        <v>43097.36</v>
      </c>
      <c r="O23" s="1">
        <f t="shared" si="4"/>
        <v>51340.705000000002</v>
      </c>
    </row>
    <row r="24" spans="4:15" x14ac:dyDescent="0.25">
      <c r="D24" t="s">
        <v>16</v>
      </c>
      <c r="H24" s="6">
        <f>H23</f>
        <v>47800</v>
      </c>
      <c r="I24" s="1">
        <f t="shared" ref="I24:L24" si="8">I23</f>
        <v>65031.55</v>
      </c>
      <c r="J24" s="30">
        <f t="shared" si="8"/>
        <v>47800</v>
      </c>
      <c r="K24" s="1">
        <f t="shared" si="8"/>
        <v>47930.07</v>
      </c>
      <c r="L24" s="1">
        <f t="shared" si="8"/>
        <v>49800</v>
      </c>
      <c r="M24" s="1">
        <f t="shared" ref="M24" si="9">M23</f>
        <v>49303.840000000004</v>
      </c>
      <c r="N24" s="1">
        <f t="shared" ref="N24" si="10">N23</f>
        <v>43097.36</v>
      </c>
      <c r="O24" s="1">
        <f t="shared" si="4"/>
        <v>51340.705000000002</v>
      </c>
    </row>
    <row r="25" spans="4:15" x14ac:dyDescent="0.25">
      <c r="D25" t="s">
        <v>17</v>
      </c>
      <c r="H25" s="6"/>
      <c r="I25" s="1"/>
      <c r="J25" s="30"/>
      <c r="K25" s="1"/>
      <c r="L25" s="1"/>
    </row>
    <row r="26" spans="4:15" x14ac:dyDescent="0.25">
      <c r="E26" t="s">
        <v>18</v>
      </c>
      <c r="H26" s="6"/>
      <c r="I26" s="1"/>
      <c r="J26" s="30"/>
      <c r="K26" s="1"/>
      <c r="L26" s="1"/>
    </row>
    <row r="27" spans="4:15" x14ac:dyDescent="0.25">
      <c r="F27" t="s">
        <v>19</v>
      </c>
      <c r="H27" s="6">
        <v>0</v>
      </c>
      <c r="I27" s="1">
        <v>8</v>
      </c>
      <c r="J27" s="30">
        <v>4</v>
      </c>
      <c r="K27" s="1">
        <v>4</v>
      </c>
      <c r="L27" s="1">
        <v>6</v>
      </c>
      <c r="M27" s="1">
        <v>6</v>
      </c>
      <c r="N27" s="1">
        <v>8</v>
      </c>
      <c r="O27" s="1">
        <f t="shared" ref="O27:O32" si="11">(+N27+M27+K27+I27)/4</f>
        <v>6.5</v>
      </c>
    </row>
    <row r="28" spans="4:15" x14ac:dyDescent="0.25">
      <c r="F28" t="s">
        <v>20</v>
      </c>
      <c r="H28" s="6">
        <v>6000</v>
      </c>
      <c r="I28" s="1">
        <v>7799</v>
      </c>
      <c r="J28" s="30">
        <v>6000</v>
      </c>
      <c r="K28" s="1">
        <v>7860.9</v>
      </c>
      <c r="L28" s="1">
        <v>6000</v>
      </c>
      <c r="M28" s="1">
        <v>5815.2</v>
      </c>
      <c r="N28" s="1">
        <v>7669.4</v>
      </c>
      <c r="O28" s="1">
        <f t="shared" si="11"/>
        <v>7286.125</v>
      </c>
    </row>
    <row r="29" spans="4:15" x14ac:dyDescent="0.25">
      <c r="F29" t="s">
        <v>131</v>
      </c>
      <c r="H29" s="6"/>
      <c r="I29" s="1"/>
      <c r="J29" s="30"/>
      <c r="K29" s="1"/>
      <c r="L29" s="1"/>
      <c r="M29" s="1">
        <v>0</v>
      </c>
      <c r="N29" s="1">
        <v>4650</v>
      </c>
      <c r="O29" s="1">
        <f t="shared" si="11"/>
        <v>1162.5</v>
      </c>
    </row>
    <row r="30" spans="4:15" x14ac:dyDescent="0.25">
      <c r="F30" t="s">
        <v>21</v>
      </c>
      <c r="H30" s="6">
        <v>0</v>
      </c>
      <c r="I30" s="1">
        <v>0</v>
      </c>
      <c r="J30" s="30">
        <v>1500</v>
      </c>
      <c r="K30" s="1">
        <v>1500</v>
      </c>
      <c r="L30" s="1">
        <v>1500</v>
      </c>
      <c r="M30" s="1">
        <v>2275</v>
      </c>
      <c r="N30" s="1">
        <v>825</v>
      </c>
      <c r="O30" s="1">
        <f t="shared" si="11"/>
        <v>1150</v>
      </c>
    </row>
    <row r="31" spans="4:15" x14ac:dyDescent="0.25">
      <c r="E31" t="s">
        <v>22</v>
      </c>
      <c r="H31" s="6">
        <f>SUM(H27:H30)</f>
        <v>6000</v>
      </c>
      <c r="I31" s="1">
        <f t="shared" ref="I31:L31" si="12">SUM(I27:I30)</f>
        <v>7807</v>
      </c>
      <c r="J31" s="30">
        <f t="shared" si="12"/>
        <v>7504</v>
      </c>
      <c r="K31" s="1">
        <f t="shared" si="12"/>
        <v>9364.9</v>
      </c>
      <c r="L31" s="1">
        <f t="shared" si="12"/>
        <v>7506</v>
      </c>
      <c r="M31" s="1">
        <f>ROUND(SUM(M26:M30),5)</f>
        <v>8096.2</v>
      </c>
      <c r="N31" s="1">
        <f>ROUND(SUM(N26:N30),5)</f>
        <v>13152.4</v>
      </c>
      <c r="O31" s="1">
        <f t="shared" si="11"/>
        <v>9605.125</v>
      </c>
    </row>
    <row r="32" spans="4:15" x14ac:dyDescent="0.25">
      <c r="D32" t="s">
        <v>23</v>
      </c>
      <c r="H32" s="6">
        <f>H31</f>
        <v>6000</v>
      </c>
      <c r="I32" s="1">
        <f t="shared" ref="I32:L32" si="13">I31</f>
        <v>7807</v>
      </c>
      <c r="J32" s="30">
        <f t="shared" si="13"/>
        <v>7504</v>
      </c>
      <c r="K32" s="1">
        <f t="shared" si="13"/>
        <v>9364.9</v>
      </c>
      <c r="L32" s="1">
        <f t="shared" si="13"/>
        <v>7506</v>
      </c>
      <c r="M32" s="1">
        <f t="shared" ref="M32" si="14">M31</f>
        <v>8096.2</v>
      </c>
      <c r="N32" s="1">
        <f t="shared" ref="N32" si="15">N31</f>
        <v>13152.4</v>
      </c>
      <c r="O32" s="1">
        <f t="shared" si="11"/>
        <v>9605.125</v>
      </c>
    </row>
    <row r="33" spans="3:15" x14ac:dyDescent="0.25">
      <c r="D33" t="s">
        <v>24</v>
      </c>
      <c r="H33" s="6"/>
      <c r="I33" s="1"/>
      <c r="J33" s="30"/>
      <c r="K33" s="1"/>
      <c r="L33" s="1"/>
    </row>
    <row r="34" spans="3:15" x14ac:dyDescent="0.25">
      <c r="E34" t="s">
        <v>25</v>
      </c>
      <c r="H34" s="6">
        <v>6000</v>
      </c>
      <c r="I34" s="1">
        <v>19403.7</v>
      </c>
      <c r="J34" s="30">
        <v>25000</v>
      </c>
      <c r="K34" s="1">
        <v>41087.79</v>
      </c>
      <c r="L34" s="1">
        <v>40000</v>
      </c>
      <c r="M34" s="1">
        <v>43930.02</v>
      </c>
      <c r="N34" s="1">
        <v>10372.950000000001</v>
      </c>
      <c r="O34" s="1">
        <f>(+N34+M34+K34+I34)/4</f>
        <v>28698.615000000002</v>
      </c>
    </row>
    <row r="35" spans="3:15" x14ac:dyDescent="0.25">
      <c r="E35" t="s">
        <v>26</v>
      </c>
      <c r="H35" s="6">
        <v>1000</v>
      </c>
      <c r="I35" s="1">
        <v>0</v>
      </c>
      <c r="J35" s="30">
        <v>1000</v>
      </c>
      <c r="K35" s="1">
        <v>1000</v>
      </c>
      <c r="L35" s="1">
        <v>0</v>
      </c>
      <c r="M35" s="1">
        <v>1000</v>
      </c>
      <c r="N35" s="1">
        <v>0</v>
      </c>
      <c r="O35" s="1">
        <f>(+N35+M35+K35+I35)/4</f>
        <v>500</v>
      </c>
    </row>
    <row r="36" spans="3:15" x14ac:dyDescent="0.25">
      <c r="E36" t="s">
        <v>27</v>
      </c>
      <c r="H36" s="6">
        <v>500</v>
      </c>
      <c r="I36" s="1">
        <v>484.87</v>
      </c>
      <c r="J36" s="30">
        <v>4000</v>
      </c>
      <c r="K36" s="1">
        <v>3871.28</v>
      </c>
      <c r="L36" s="1">
        <v>6600</v>
      </c>
      <c r="M36" s="1">
        <v>6671.31</v>
      </c>
      <c r="N36" s="1">
        <v>8397.2000000000007</v>
      </c>
      <c r="O36" s="1">
        <f>(+N36+M36+K36+I36)/4</f>
        <v>4856.165</v>
      </c>
    </row>
    <row r="37" spans="3:15" x14ac:dyDescent="0.25">
      <c r="D37" t="s">
        <v>28</v>
      </c>
      <c r="H37" s="6">
        <f>SUM(H34:H36)</f>
        <v>7500</v>
      </c>
      <c r="I37" s="1">
        <f t="shared" ref="I37:N37" si="16">SUM(I34:I36)</f>
        <v>19888.57</v>
      </c>
      <c r="J37" s="30">
        <f t="shared" si="16"/>
        <v>30000</v>
      </c>
      <c r="K37" s="1">
        <f t="shared" si="16"/>
        <v>45959.07</v>
      </c>
      <c r="L37" s="1">
        <f t="shared" si="16"/>
        <v>46600</v>
      </c>
      <c r="M37" s="1">
        <f t="shared" si="16"/>
        <v>51601.329999999994</v>
      </c>
      <c r="N37" s="1">
        <f t="shared" si="16"/>
        <v>18770.150000000001</v>
      </c>
      <c r="O37" s="1">
        <f>(+N37+M37+K37+I37)/4</f>
        <v>34054.78</v>
      </c>
    </row>
    <row r="38" spans="3:15" x14ac:dyDescent="0.25">
      <c r="C38" s="2" t="s">
        <v>170</v>
      </c>
      <c r="H38" s="7">
        <f>ROUND(H7+H11+H14+H17+H24+H32+H37,5)</f>
        <v>473300</v>
      </c>
      <c r="I38" s="1">
        <f t="shared" ref="I38" si="17">ROUND(I7+I11+I14+I17+I24+I32+I37,5)</f>
        <v>544745.57999999996</v>
      </c>
      <c r="J38" s="1">
        <f t="shared" ref="J38" si="18">ROUND(J7+J11+J14+J17+J24+J32+J37,5)</f>
        <v>542304</v>
      </c>
      <c r="K38" s="1">
        <f t="shared" ref="K38" si="19">ROUND(K7+K11+K14+K17+K24+K32+K37,5)</f>
        <v>515380.78</v>
      </c>
      <c r="L38" s="1">
        <f t="shared" ref="L38:N38" si="20">ROUND(L7+L11+L14+L17+L24+L32+L37,5)</f>
        <v>550706</v>
      </c>
      <c r="M38" s="1">
        <f t="shared" si="20"/>
        <v>888351.51</v>
      </c>
      <c r="N38" s="1">
        <f t="shared" si="20"/>
        <v>849039.15</v>
      </c>
      <c r="O38" s="1">
        <f>(+N38+M38+K38+I38)/4</f>
        <v>699379.25500000012</v>
      </c>
    </row>
    <row r="39" spans="3:15" x14ac:dyDescent="0.25">
      <c r="C39" s="2" t="s">
        <v>29</v>
      </c>
      <c r="H39" s="6"/>
      <c r="I39" s="1"/>
      <c r="J39" s="30"/>
      <c r="K39" s="1"/>
      <c r="L39" s="1"/>
    </row>
    <row r="40" spans="3:15" x14ac:dyDescent="0.25">
      <c r="D40" t="s">
        <v>30</v>
      </c>
      <c r="H40" s="6"/>
      <c r="I40" s="1"/>
      <c r="J40" s="30"/>
      <c r="K40" s="1"/>
      <c r="L40" s="1"/>
    </row>
    <row r="41" spans="3:15" x14ac:dyDescent="0.25">
      <c r="E41" s="2" t="s">
        <v>31</v>
      </c>
      <c r="H41" s="6"/>
      <c r="I41" s="1"/>
      <c r="J41" s="30"/>
      <c r="K41" s="1"/>
      <c r="L41" s="1"/>
    </row>
    <row r="42" spans="3:15" x14ac:dyDescent="0.25">
      <c r="F42" t="s">
        <v>32</v>
      </c>
      <c r="H42" s="6"/>
      <c r="I42" s="1"/>
      <c r="J42" s="30"/>
      <c r="K42" s="1"/>
      <c r="L42" s="1"/>
    </row>
    <row r="43" spans="3:15" x14ac:dyDescent="0.25">
      <c r="G43" t="s">
        <v>33</v>
      </c>
      <c r="H43" s="6">
        <v>10000</v>
      </c>
      <c r="I43" s="1">
        <v>11137.5</v>
      </c>
      <c r="J43" s="30">
        <v>10000</v>
      </c>
      <c r="K43" s="1">
        <v>9837.5</v>
      </c>
      <c r="L43" s="1">
        <v>10000</v>
      </c>
      <c r="M43" s="1">
        <v>9362.5</v>
      </c>
      <c r="N43" s="1">
        <v>7275</v>
      </c>
      <c r="O43" s="1">
        <f t="shared" ref="O43:O49" si="21">(+N43+M43+K43+I43)/4</f>
        <v>9403.125</v>
      </c>
    </row>
    <row r="44" spans="3:15" x14ac:dyDescent="0.25">
      <c r="G44" t="s">
        <v>34</v>
      </c>
      <c r="H44" s="6">
        <v>100</v>
      </c>
      <c r="I44" s="1">
        <v>49.88</v>
      </c>
      <c r="J44" s="30">
        <v>100</v>
      </c>
      <c r="K44" s="1">
        <v>313.77999999999997</v>
      </c>
      <c r="L44" s="1">
        <v>100</v>
      </c>
      <c r="M44" s="1">
        <v>1935.88</v>
      </c>
      <c r="N44" s="1">
        <v>1013.34</v>
      </c>
      <c r="O44" s="1">
        <f t="shared" si="21"/>
        <v>828.22</v>
      </c>
    </row>
    <row r="45" spans="3:15" x14ac:dyDescent="0.25">
      <c r="G45" t="s">
        <v>132</v>
      </c>
      <c r="H45" s="6">
        <v>0</v>
      </c>
      <c r="I45" s="1"/>
      <c r="J45" s="30">
        <v>0</v>
      </c>
      <c r="K45" s="1"/>
      <c r="L45" s="1">
        <v>0</v>
      </c>
      <c r="M45" s="1">
        <v>0</v>
      </c>
      <c r="N45" s="1">
        <v>-7.5</v>
      </c>
      <c r="O45" s="1">
        <f t="shared" si="21"/>
        <v>-1.875</v>
      </c>
    </row>
    <row r="46" spans="3:15" x14ac:dyDescent="0.25">
      <c r="G46" t="s">
        <v>35</v>
      </c>
      <c r="H46" s="6">
        <v>765</v>
      </c>
      <c r="I46" s="1">
        <v>843.61</v>
      </c>
      <c r="J46" s="30">
        <v>765</v>
      </c>
      <c r="K46" s="1">
        <v>752.57</v>
      </c>
      <c r="L46" s="1">
        <f>L43*0.0765</f>
        <v>765</v>
      </c>
      <c r="M46" s="1">
        <v>1661.24</v>
      </c>
      <c r="N46" s="1">
        <v>1217.3499999999999</v>
      </c>
      <c r="O46" s="1">
        <f t="shared" si="21"/>
        <v>1118.6925000000001</v>
      </c>
    </row>
    <row r="47" spans="3:15" x14ac:dyDescent="0.25">
      <c r="G47" t="s">
        <v>36</v>
      </c>
      <c r="H47" s="6">
        <v>50</v>
      </c>
      <c r="I47" s="1">
        <v>30.54</v>
      </c>
      <c r="J47" s="30">
        <v>50</v>
      </c>
      <c r="K47" s="1">
        <v>32.36</v>
      </c>
      <c r="L47" s="1">
        <v>50</v>
      </c>
      <c r="M47" s="1">
        <v>37.659999999999997</v>
      </c>
      <c r="N47" s="1">
        <v>168.07</v>
      </c>
      <c r="O47" s="1">
        <f t="shared" si="21"/>
        <v>67.157499999999999</v>
      </c>
    </row>
    <row r="48" spans="3:15" x14ac:dyDescent="0.25">
      <c r="F48" t="s">
        <v>37</v>
      </c>
      <c r="H48" s="6">
        <f>SUM(H43:H47)</f>
        <v>10915</v>
      </c>
      <c r="I48" s="1">
        <f t="shared" ref="I48:L48" si="22">SUM(I43:I47)</f>
        <v>12061.53</v>
      </c>
      <c r="J48" s="30">
        <f t="shared" si="22"/>
        <v>10915</v>
      </c>
      <c r="K48" s="1">
        <f t="shared" si="22"/>
        <v>10936.210000000001</v>
      </c>
      <c r="L48" s="1">
        <f t="shared" si="22"/>
        <v>10915</v>
      </c>
      <c r="M48" s="1">
        <f>ROUND(SUM(M42:M47),5)</f>
        <v>12997.28</v>
      </c>
      <c r="N48" s="1">
        <f>ROUND(SUM(N42:N47),5)</f>
        <v>9666.26</v>
      </c>
      <c r="O48" s="1">
        <f t="shared" si="21"/>
        <v>11415.32</v>
      </c>
    </row>
    <row r="49" spans="5:15" x14ac:dyDescent="0.25">
      <c r="E49" t="s">
        <v>38</v>
      </c>
      <c r="H49" s="44">
        <f>H48</f>
        <v>10915</v>
      </c>
      <c r="I49" s="1">
        <f t="shared" ref="I49:L49" si="23">I48</f>
        <v>12061.53</v>
      </c>
      <c r="J49" s="30">
        <f t="shared" si="23"/>
        <v>10915</v>
      </c>
      <c r="K49" s="1">
        <f t="shared" si="23"/>
        <v>10936.210000000001</v>
      </c>
      <c r="L49" s="1">
        <f t="shared" si="23"/>
        <v>10915</v>
      </c>
      <c r="M49" s="1">
        <f>ROUND(M41+M48,5)</f>
        <v>12997.28</v>
      </c>
      <c r="N49" s="1">
        <f>ROUND(N41+N48,5)</f>
        <v>9666.26</v>
      </c>
      <c r="O49" s="1">
        <f t="shared" si="21"/>
        <v>11415.32</v>
      </c>
    </row>
    <row r="50" spans="5:15" x14ac:dyDescent="0.25">
      <c r="E50" s="2" t="s">
        <v>39</v>
      </c>
      <c r="H50" s="6"/>
      <c r="I50" s="1"/>
      <c r="J50" s="30"/>
      <c r="K50" s="1"/>
      <c r="L50" s="1"/>
    </row>
    <row r="51" spans="5:15" x14ac:dyDescent="0.25">
      <c r="F51" t="s">
        <v>40</v>
      </c>
      <c r="H51" s="6">
        <v>25000</v>
      </c>
      <c r="I51" s="1">
        <v>25762.5</v>
      </c>
      <c r="J51" s="30">
        <v>28000</v>
      </c>
      <c r="K51" s="1">
        <v>27122.5</v>
      </c>
      <c r="L51" s="1">
        <v>10000</v>
      </c>
      <c r="M51" s="1">
        <v>15825</v>
      </c>
      <c r="N51" s="1">
        <v>7927</v>
      </c>
      <c r="O51" s="1">
        <f t="shared" ref="O51:O56" si="24">(+N51+M51+K51+I51)/4</f>
        <v>19159.25</v>
      </c>
    </row>
    <row r="52" spans="5:15" x14ac:dyDescent="0.25">
      <c r="F52" t="s">
        <v>133</v>
      </c>
      <c r="H52" s="6">
        <v>500</v>
      </c>
      <c r="I52" s="1">
        <v>829.33</v>
      </c>
      <c r="J52" s="30">
        <v>500</v>
      </c>
      <c r="K52" s="1">
        <v>482.52</v>
      </c>
      <c r="L52" s="1">
        <v>500</v>
      </c>
      <c r="M52" s="1">
        <v>0</v>
      </c>
      <c r="N52" s="1">
        <v>50.29</v>
      </c>
      <c r="O52" s="1">
        <f t="shared" si="24"/>
        <v>340.53499999999997</v>
      </c>
    </row>
    <row r="53" spans="5:15" x14ac:dyDescent="0.25">
      <c r="F53" t="s">
        <v>41</v>
      </c>
      <c r="H53" s="6">
        <f>H51*0.05</f>
        <v>1250</v>
      </c>
      <c r="I53" s="1">
        <v>1260.9000000000001</v>
      </c>
      <c r="J53" s="30">
        <f>J51*0.05</f>
        <v>1400</v>
      </c>
      <c r="K53" s="1">
        <v>1352.41</v>
      </c>
      <c r="L53" s="1">
        <f>L51*0.05</f>
        <v>500</v>
      </c>
      <c r="M53" s="1">
        <v>1087.27</v>
      </c>
      <c r="N53" s="1">
        <v>433.85</v>
      </c>
      <c r="O53" s="1">
        <f t="shared" si="24"/>
        <v>1033.6075000000001</v>
      </c>
    </row>
    <row r="54" spans="5:15" x14ac:dyDescent="0.25">
      <c r="F54" t="s">
        <v>42</v>
      </c>
      <c r="H54" s="6">
        <f>H51*0.0765</f>
        <v>1912.5</v>
      </c>
      <c r="I54" s="1">
        <v>1930.67</v>
      </c>
      <c r="J54" s="30">
        <f>J51*0.0765</f>
        <v>2142</v>
      </c>
      <c r="K54" s="1">
        <v>2069.14</v>
      </c>
      <c r="L54" s="1">
        <f>L51*0.0765</f>
        <v>765</v>
      </c>
      <c r="M54" s="1">
        <v>1060.93</v>
      </c>
      <c r="N54" s="1">
        <v>516.76</v>
      </c>
      <c r="O54" s="1">
        <f t="shared" si="24"/>
        <v>1394.375</v>
      </c>
    </row>
    <row r="55" spans="5:15" x14ac:dyDescent="0.25">
      <c r="F55" t="s">
        <v>43</v>
      </c>
      <c r="H55" s="6">
        <v>0</v>
      </c>
      <c r="I55" s="1">
        <v>4809.63</v>
      </c>
      <c r="J55" s="30">
        <v>4000</v>
      </c>
      <c r="K55" s="1">
        <v>3687.28</v>
      </c>
      <c r="L55" s="1">
        <v>2250</v>
      </c>
      <c r="M55" s="1">
        <v>3464.9</v>
      </c>
      <c r="N55" s="1">
        <v>727.63</v>
      </c>
      <c r="O55" s="1">
        <f t="shared" si="24"/>
        <v>3172.3599999999997</v>
      </c>
    </row>
    <row r="56" spans="5:15" x14ac:dyDescent="0.25">
      <c r="F56" t="s">
        <v>44</v>
      </c>
      <c r="H56" s="6">
        <v>100</v>
      </c>
      <c r="I56" s="1">
        <v>0</v>
      </c>
      <c r="J56" s="30">
        <v>100</v>
      </c>
      <c r="K56" s="1">
        <v>56</v>
      </c>
      <c r="L56" s="1">
        <v>100</v>
      </c>
      <c r="M56" s="1">
        <v>47.38</v>
      </c>
      <c r="N56" s="1">
        <v>184</v>
      </c>
      <c r="O56" s="1">
        <f t="shared" si="24"/>
        <v>71.844999999999999</v>
      </c>
    </row>
    <row r="57" spans="5:15" x14ac:dyDescent="0.25">
      <c r="F57" t="s">
        <v>45</v>
      </c>
      <c r="H57" s="6"/>
      <c r="I57" s="1"/>
      <c r="J57" s="30"/>
      <c r="K57" s="1"/>
      <c r="L57" s="1"/>
    </row>
    <row r="58" spans="5:15" x14ac:dyDescent="0.25">
      <c r="G58" t="s">
        <v>46</v>
      </c>
      <c r="H58" s="6">
        <v>405</v>
      </c>
      <c r="I58" s="1">
        <v>400</v>
      </c>
      <c r="J58" s="30">
        <v>405</v>
      </c>
      <c r="K58" s="1">
        <v>405</v>
      </c>
      <c r="L58" s="1">
        <v>405</v>
      </c>
      <c r="M58" s="1">
        <v>405</v>
      </c>
      <c r="N58" s="1">
        <v>405</v>
      </c>
      <c r="O58" s="1">
        <f t="shared" ref="O58:O86" si="25">(+N58+M58+K58+I58)/4</f>
        <v>403.75</v>
      </c>
    </row>
    <row r="59" spans="5:15" x14ac:dyDescent="0.25">
      <c r="G59" t="s">
        <v>134</v>
      </c>
      <c r="H59" s="6">
        <v>6300</v>
      </c>
      <c r="I59" s="1">
        <v>5632</v>
      </c>
      <c r="J59" s="30">
        <v>5000</v>
      </c>
      <c r="K59" s="1">
        <v>5032</v>
      </c>
      <c r="L59" s="1">
        <v>5000</v>
      </c>
      <c r="M59" s="1">
        <v>3782</v>
      </c>
      <c r="N59" s="1">
        <v>4878</v>
      </c>
      <c r="O59" s="1">
        <f t="shared" si="25"/>
        <v>4831</v>
      </c>
    </row>
    <row r="60" spans="5:15" x14ac:dyDescent="0.25">
      <c r="G60" t="s">
        <v>47</v>
      </c>
      <c r="H60" s="6">
        <v>250</v>
      </c>
      <c r="I60" s="1">
        <v>215.03</v>
      </c>
      <c r="J60" s="30">
        <v>360</v>
      </c>
      <c r="K60" s="1">
        <v>336.99</v>
      </c>
      <c r="L60" s="1">
        <v>250</v>
      </c>
      <c r="M60" s="1">
        <v>642.91</v>
      </c>
      <c r="N60" s="1">
        <v>87.52</v>
      </c>
      <c r="O60" s="1">
        <f t="shared" si="25"/>
        <v>320.61250000000001</v>
      </c>
    </row>
    <row r="61" spans="5:15" x14ac:dyDescent="0.25">
      <c r="G61" t="s">
        <v>48</v>
      </c>
      <c r="H61" s="6">
        <v>500</v>
      </c>
      <c r="I61" s="1">
        <v>55.82</v>
      </c>
      <c r="J61" s="30">
        <v>500</v>
      </c>
      <c r="K61" s="1">
        <v>749.33</v>
      </c>
      <c r="L61" s="1">
        <v>500</v>
      </c>
      <c r="M61" s="1">
        <v>420.65</v>
      </c>
      <c r="N61" s="1">
        <v>927.48</v>
      </c>
      <c r="O61" s="1">
        <f t="shared" si="25"/>
        <v>538.32000000000005</v>
      </c>
    </row>
    <row r="62" spans="5:15" x14ac:dyDescent="0.25">
      <c r="G62" t="s">
        <v>49</v>
      </c>
      <c r="H62" s="6">
        <v>1500</v>
      </c>
      <c r="I62" s="1">
        <v>987.96</v>
      </c>
      <c r="J62" s="30">
        <v>1000</v>
      </c>
      <c r="K62" s="1">
        <v>819.54</v>
      </c>
      <c r="L62" s="1">
        <v>1000</v>
      </c>
      <c r="M62" s="1">
        <v>2181.46</v>
      </c>
      <c r="N62" s="1">
        <v>545.09</v>
      </c>
      <c r="O62" s="1">
        <f t="shared" si="25"/>
        <v>1133.5125</v>
      </c>
    </row>
    <row r="63" spans="5:15" x14ac:dyDescent="0.25">
      <c r="G63" t="s">
        <v>50</v>
      </c>
      <c r="H63" s="6">
        <v>250</v>
      </c>
      <c r="I63" s="1">
        <v>69.34</v>
      </c>
      <c r="J63" s="30">
        <v>500</v>
      </c>
      <c r="K63" s="1">
        <v>496.29</v>
      </c>
      <c r="L63" s="1">
        <v>400</v>
      </c>
      <c r="M63" s="1">
        <v>391.08</v>
      </c>
      <c r="N63" s="1">
        <v>397.67</v>
      </c>
      <c r="O63" s="1">
        <f t="shared" si="25"/>
        <v>338.59499999999997</v>
      </c>
    </row>
    <row r="64" spans="5:15" x14ac:dyDescent="0.25">
      <c r="G64" t="s">
        <v>51</v>
      </c>
      <c r="H64" s="6">
        <v>300</v>
      </c>
      <c r="I64" s="1">
        <v>150</v>
      </c>
      <c r="J64" s="30">
        <v>500</v>
      </c>
      <c r="K64" s="1">
        <v>405</v>
      </c>
      <c r="L64" s="1">
        <v>250</v>
      </c>
      <c r="M64" s="1">
        <v>185</v>
      </c>
      <c r="N64" s="1">
        <v>1007.91</v>
      </c>
      <c r="O64" s="1">
        <f t="shared" si="25"/>
        <v>436.97749999999996</v>
      </c>
    </row>
    <row r="65" spans="7:16" x14ac:dyDescent="0.25">
      <c r="G65" t="s">
        <v>52</v>
      </c>
      <c r="H65" s="6">
        <v>250</v>
      </c>
      <c r="I65" s="1">
        <v>195</v>
      </c>
      <c r="J65" s="30">
        <v>325</v>
      </c>
      <c r="K65" s="1">
        <v>252.49</v>
      </c>
      <c r="L65" s="1">
        <v>200</v>
      </c>
      <c r="M65" s="1">
        <v>258.76</v>
      </c>
      <c r="N65" s="1">
        <v>170.68</v>
      </c>
      <c r="O65" s="1">
        <f t="shared" si="25"/>
        <v>219.23250000000002</v>
      </c>
    </row>
    <row r="66" spans="7:16" x14ac:dyDescent="0.25">
      <c r="G66" t="s">
        <v>53</v>
      </c>
      <c r="H66" s="6">
        <v>150</v>
      </c>
      <c r="I66" s="1">
        <v>150.1</v>
      </c>
      <c r="J66" s="30">
        <v>200</v>
      </c>
      <c r="K66" s="1">
        <v>184.01</v>
      </c>
      <c r="L66" s="1">
        <v>1000</v>
      </c>
      <c r="M66" s="1">
        <v>575.70000000000005</v>
      </c>
      <c r="N66" s="1">
        <v>0</v>
      </c>
      <c r="O66" s="1">
        <f t="shared" si="25"/>
        <v>227.45250000000001</v>
      </c>
    </row>
    <row r="67" spans="7:16" x14ac:dyDescent="0.25">
      <c r="G67" t="s">
        <v>54</v>
      </c>
      <c r="H67" s="6">
        <v>1300</v>
      </c>
      <c r="I67" s="1">
        <v>1043.9100000000001</v>
      </c>
      <c r="J67" s="30">
        <v>1000</v>
      </c>
      <c r="K67" s="1">
        <v>1978.98</v>
      </c>
      <c r="L67" s="1">
        <v>350</v>
      </c>
      <c r="M67" s="1">
        <v>1988.45</v>
      </c>
      <c r="N67" s="1">
        <v>1847.88</v>
      </c>
      <c r="O67" s="1">
        <f t="shared" si="25"/>
        <v>1714.8049999999998</v>
      </c>
    </row>
    <row r="68" spans="7:16" x14ac:dyDescent="0.25">
      <c r="G68" t="s">
        <v>55</v>
      </c>
      <c r="H68" s="6">
        <v>1500</v>
      </c>
      <c r="I68" s="1">
        <v>1641.2</v>
      </c>
      <c r="J68" s="30">
        <v>2000</v>
      </c>
      <c r="K68" s="1">
        <v>1995.53</v>
      </c>
      <c r="L68" s="1">
        <f>160*12</f>
        <v>1920</v>
      </c>
      <c r="M68" s="1">
        <v>1893.86</v>
      </c>
      <c r="N68" s="1">
        <v>2609.5500000000002</v>
      </c>
      <c r="O68" s="1">
        <f t="shared" si="25"/>
        <v>2035.0349999999999</v>
      </c>
      <c r="P68" s="1" t="s">
        <v>239</v>
      </c>
    </row>
    <row r="69" spans="7:16" x14ac:dyDescent="0.25">
      <c r="G69" t="s">
        <v>56</v>
      </c>
      <c r="H69" s="6">
        <v>200</v>
      </c>
      <c r="I69" s="1">
        <v>180.32</v>
      </c>
      <c r="J69" s="30">
        <v>250</v>
      </c>
      <c r="K69" s="1">
        <v>233.41</v>
      </c>
      <c r="L69" s="1">
        <v>600</v>
      </c>
      <c r="M69" s="1">
        <v>389.09</v>
      </c>
      <c r="N69" s="1">
        <v>797.92</v>
      </c>
      <c r="O69" s="1">
        <f t="shared" si="25"/>
        <v>400.185</v>
      </c>
    </row>
    <row r="70" spans="7:16" x14ac:dyDescent="0.25">
      <c r="G70" t="s">
        <v>57</v>
      </c>
      <c r="H70" s="6">
        <v>1600</v>
      </c>
      <c r="I70" s="1">
        <v>1353.74</v>
      </c>
      <c r="J70" s="30">
        <v>1100</v>
      </c>
      <c r="K70" s="1">
        <v>1110.44</v>
      </c>
      <c r="L70" s="1">
        <f>90*12</f>
        <v>1080</v>
      </c>
      <c r="M70" s="1">
        <v>1251.1099999999999</v>
      </c>
      <c r="N70" s="1">
        <v>691.13</v>
      </c>
      <c r="O70" s="1">
        <f t="shared" si="25"/>
        <v>1101.605</v>
      </c>
    </row>
    <row r="71" spans="7:16" x14ac:dyDescent="0.25">
      <c r="G71" t="s">
        <v>58</v>
      </c>
      <c r="H71" s="6">
        <v>1000</v>
      </c>
      <c r="I71" s="1"/>
      <c r="J71" s="30">
        <v>0</v>
      </c>
      <c r="K71" s="1"/>
      <c r="L71" s="1">
        <v>0</v>
      </c>
      <c r="M71" s="1">
        <v>110.52</v>
      </c>
      <c r="N71" s="1">
        <v>0</v>
      </c>
      <c r="O71" s="1">
        <f t="shared" si="25"/>
        <v>27.63</v>
      </c>
    </row>
    <row r="72" spans="7:16" x14ac:dyDescent="0.25">
      <c r="G72" t="s">
        <v>59</v>
      </c>
      <c r="H72" s="6">
        <v>3000</v>
      </c>
      <c r="I72" s="1">
        <v>3214.96</v>
      </c>
      <c r="J72" s="30">
        <v>3000</v>
      </c>
      <c r="K72" s="1">
        <v>2081.48</v>
      </c>
      <c r="L72" s="1">
        <v>3750</v>
      </c>
      <c r="M72" s="1">
        <v>3358.69</v>
      </c>
      <c r="N72" s="1">
        <v>1907.81</v>
      </c>
      <c r="O72" s="1">
        <f t="shared" si="25"/>
        <v>2640.7349999999997</v>
      </c>
      <c r="P72" s="1" t="s">
        <v>186</v>
      </c>
    </row>
    <row r="73" spans="7:16" x14ac:dyDescent="0.25">
      <c r="G73" t="s">
        <v>60</v>
      </c>
      <c r="H73" s="6">
        <v>0</v>
      </c>
      <c r="I73" s="1"/>
      <c r="J73" s="30">
        <v>0</v>
      </c>
      <c r="K73" s="1"/>
      <c r="L73" s="1">
        <v>1000</v>
      </c>
      <c r="M73" s="1">
        <v>1000</v>
      </c>
      <c r="N73" s="1">
        <v>0</v>
      </c>
      <c r="O73" s="1">
        <f t="shared" si="25"/>
        <v>250</v>
      </c>
    </row>
    <row r="74" spans="7:16" x14ac:dyDescent="0.25">
      <c r="G74" t="s">
        <v>61</v>
      </c>
      <c r="H74" s="6">
        <v>4500</v>
      </c>
      <c r="I74" s="1">
        <v>4374</v>
      </c>
      <c r="J74" s="30">
        <v>4000</v>
      </c>
      <c r="K74" s="1">
        <v>3796</v>
      </c>
      <c r="L74" s="1">
        <v>4000</v>
      </c>
      <c r="M74" s="1">
        <v>3319</v>
      </c>
      <c r="N74" s="1">
        <v>3269</v>
      </c>
      <c r="O74" s="1">
        <f t="shared" si="25"/>
        <v>3689.5</v>
      </c>
    </row>
    <row r="75" spans="7:16" x14ac:dyDescent="0.25">
      <c r="G75" t="s">
        <v>62</v>
      </c>
      <c r="H75" s="6">
        <v>3500</v>
      </c>
      <c r="I75" s="1">
        <v>3212.48</v>
      </c>
      <c r="J75" s="30">
        <v>3500</v>
      </c>
      <c r="K75" s="1">
        <v>3423.63</v>
      </c>
      <c r="L75" s="1">
        <v>3400</v>
      </c>
      <c r="M75" s="1">
        <v>3459.67</v>
      </c>
      <c r="N75" s="1">
        <v>2610.9</v>
      </c>
      <c r="O75" s="1">
        <f t="shared" si="25"/>
        <v>3176.67</v>
      </c>
    </row>
    <row r="76" spans="7:16" x14ac:dyDescent="0.25">
      <c r="G76" t="s">
        <v>63</v>
      </c>
      <c r="H76" s="6">
        <v>2500</v>
      </c>
      <c r="I76" s="1">
        <v>2401.56</v>
      </c>
      <c r="J76" s="30">
        <v>4000</v>
      </c>
      <c r="K76" s="1">
        <v>3672.93</v>
      </c>
      <c r="L76" s="1">
        <v>4000</v>
      </c>
      <c r="M76" s="1">
        <v>3752.84</v>
      </c>
      <c r="N76" s="1">
        <v>4338.6400000000003</v>
      </c>
      <c r="O76" s="1">
        <f t="shared" si="25"/>
        <v>3541.4924999999998</v>
      </c>
    </row>
    <row r="77" spans="7:16" x14ac:dyDescent="0.25">
      <c r="G77" t="s">
        <v>147</v>
      </c>
      <c r="H77" s="6">
        <v>25</v>
      </c>
      <c r="I77" s="1">
        <v>411.13</v>
      </c>
      <c r="J77" s="30">
        <v>25</v>
      </c>
      <c r="K77" s="1">
        <v>18</v>
      </c>
      <c r="L77" s="1">
        <v>0</v>
      </c>
      <c r="O77" s="1">
        <f t="shared" si="25"/>
        <v>107.2825</v>
      </c>
    </row>
    <row r="78" spans="7:16" x14ac:dyDescent="0.25">
      <c r="G78" t="s">
        <v>64</v>
      </c>
      <c r="H78" s="6">
        <v>130</v>
      </c>
      <c r="I78" s="1">
        <v>260</v>
      </c>
      <c r="J78" s="30">
        <v>130</v>
      </c>
      <c r="K78" s="1">
        <v>130</v>
      </c>
      <c r="L78" s="1">
        <v>130</v>
      </c>
      <c r="M78" s="1">
        <v>130</v>
      </c>
      <c r="N78" s="1">
        <v>115</v>
      </c>
      <c r="O78" s="1">
        <f t="shared" si="25"/>
        <v>158.75</v>
      </c>
    </row>
    <row r="79" spans="7:16" x14ac:dyDescent="0.25">
      <c r="G79" t="s">
        <v>65</v>
      </c>
      <c r="H79" s="6">
        <v>7000</v>
      </c>
      <c r="I79" s="1">
        <v>7150</v>
      </c>
      <c r="J79" s="30">
        <v>2500</v>
      </c>
      <c r="K79" s="1">
        <v>2522.85</v>
      </c>
      <c r="L79" s="1">
        <v>2500</v>
      </c>
      <c r="M79" s="1">
        <v>7586.5</v>
      </c>
      <c r="N79" s="1">
        <v>20</v>
      </c>
      <c r="O79" s="1">
        <f t="shared" si="25"/>
        <v>4319.8374999999996</v>
      </c>
      <c r="P79" s="1" t="s">
        <v>190</v>
      </c>
    </row>
    <row r="80" spans="7:16" x14ac:dyDescent="0.25">
      <c r="G80" t="s">
        <v>66</v>
      </c>
      <c r="H80" s="6">
        <v>350</v>
      </c>
      <c r="I80" s="1">
        <v>319.95</v>
      </c>
      <c r="J80" s="30">
        <v>350</v>
      </c>
      <c r="K80" s="1">
        <v>400</v>
      </c>
      <c r="L80" s="1">
        <f>60*12</f>
        <v>720</v>
      </c>
      <c r="M80" s="1">
        <v>780</v>
      </c>
      <c r="N80" s="1">
        <v>660</v>
      </c>
      <c r="O80" s="1">
        <f t="shared" si="25"/>
        <v>539.98749999999995</v>
      </c>
    </row>
    <row r="81" spans="5:16" x14ac:dyDescent="0.25">
      <c r="G81" t="s">
        <v>67</v>
      </c>
      <c r="H81" s="6">
        <v>1500</v>
      </c>
      <c r="I81" s="1">
        <v>1393.77</v>
      </c>
      <c r="J81" s="30">
        <v>1200</v>
      </c>
      <c r="K81" s="1">
        <v>1087.17</v>
      </c>
      <c r="L81" s="1">
        <v>1600</v>
      </c>
      <c r="M81" s="1">
        <v>1457.6</v>
      </c>
      <c r="N81" s="1">
        <v>1077.96</v>
      </c>
      <c r="O81" s="1">
        <f t="shared" si="25"/>
        <v>1254.125</v>
      </c>
    </row>
    <row r="82" spans="5:16" x14ac:dyDescent="0.25">
      <c r="G82" t="s">
        <v>68</v>
      </c>
      <c r="H82" s="6">
        <v>2000</v>
      </c>
      <c r="I82" s="1">
        <v>500</v>
      </c>
      <c r="J82" s="30">
        <v>1000</v>
      </c>
      <c r="K82" s="1">
        <v>1000</v>
      </c>
      <c r="L82" s="1">
        <v>0</v>
      </c>
      <c r="M82" s="1">
        <v>1000</v>
      </c>
      <c r="N82" s="1">
        <v>1000</v>
      </c>
      <c r="O82" s="1">
        <f t="shared" si="25"/>
        <v>875</v>
      </c>
    </row>
    <row r="83" spans="5:16" x14ac:dyDescent="0.25">
      <c r="G83" t="s">
        <v>69</v>
      </c>
      <c r="H83" s="6">
        <v>1000</v>
      </c>
      <c r="I83" s="1">
        <v>11170.17</v>
      </c>
      <c r="J83" s="30">
        <v>1500</v>
      </c>
      <c r="K83" s="1">
        <v>1013.55</v>
      </c>
      <c r="L83" s="1">
        <f>1800+1200</f>
        <v>3000</v>
      </c>
      <c r="M83" s="1">
        <v>1056.24</v>
      </c>
      <c r="N83" s="1">
        <v>3251.91</v>
      </c>
      <c r="O83" s="1">
        <f t="shared" si="25"/>
        <v>4122.9674999999997</v>
      </c>
    </row>
    <row r="84" spans="5:16" x14ac:dyDescent="0.25">
      <c r="G84" t="s">
        <v>70</v>
      </c>
      <c r="H84" s="6">
        <v>250</v>
      </c>
      <c r="I84" s="1">
        <v>25</v>
      </c>
      <c r="J84" s="30">
        <v>250</v>
      </c>
      <c r="K84" s="1">
        <v>120</v>
      </c>
      <c r="L84" s="1">
        <v>250</v>
      </c>
      <c r="M84" s="1">
        <v>268.25</v>
      </c>
      <c r="N84" s="1">
        <v>297.60000000000002</v>
      </c>
      <c r="O84" s="1">
        <f t="shared" si="25"/>
        <v>177.71250000000001</v>
      </c>
    </row>
    <row r="85" spans="5:16" x14ac:dyDescent="0.25">
      <c r="F85" t="s">
        <v>71</v>
      </c>
      <c r="H85" s="6">
        <f>SUM(H58:H84)</f>
        <v>41260</v>
      </c>
      <c r="I85" s="1">
        <f t="shared" ref="I85:L85" si="26">SUM(I58:I84)</f>
        <v>46507.439999999995</v>
      </c>
      <c r="J85" s="30">
        <f t="shared" si="26"/>
        <v>34595</v>
      </c>
      <c r="K85" s="1">
        <f t="shared" si="26"/>
        <v>33264.620000000003</v>
      </c>
      <c r="L85" s="1">
        <f t="shared" si="26"/>
        <v>37305</v>
      </c>
      <c r="M85" s="1">
        <f t="shared" ref="M85" si="27">SUM(M58:M84)</f>
        <v>41644.380000000005</v>
      </c>
      <c r="N85" s="1">
        <f t="shared" ref="N85" si="28">SUM(N58:N84)</f>
        <v>32914.65</v>
      </c>
      <c r="O85" s="1">
        <f t="shared" si="25"/>
        <v>38582.772499999999</v>
      </c>
    </row>
    <row r="86" spans="5:16" x14ac:dyDescent="0.25">
      <c r="E86" t="s">
        <v>72</v>
      </c>
      <c r="H86" s="44">
        <f>SUM(H51:H56)+H85</f>
        <v>70022.5</v>
      </c>
      <c r="I86" s="1">
        <f t="shared" ref="I86:L86" si="29">SUM(I51:I56)+I85</f>
        <v>81100.47</v>
      </c>
      <c r="J86" s="30">
        <f t="shared" si="29"/>
        <v>70737</v>
      </c>
      <c r="K86" s="1">
        <f t="shared" si="29"/>
        <v>68034.47</v>
      </c>
      <c r="L86" s="1">
        <f t="shared" si="29"/>
        <v>51420</v>
      </c>
      <c r="M86" s="1">
        <f t="shared" ref="M86" si="30">SUM(M51:M56)+M85</f>
        <v>63129.860000000008</v>
      </c>
      <c r="N86" s="1">
        <f t="shared" ref="N86" si="31">SUM(N51:N56)+N85</f>
        <v>42754.18</v>
      </c>
      <c r="O86" s="1">
        <f t="shared" si="25"/>
        <v>63754.745000000003</v>
      </c>
    </row>
    <row r="87" spans="5:16" x14ac:dyDescent="0.25">
      <c r="E87" s="2" t="s">
        <v>73</v>
      </c>
      <c r="H87" s="6"/>
      <c r="I87" s="1"/>
      <c r="J87" s="30"/>
      <c r="K87" s="1"/>
      <c r="L87" s="1"/>
    </row>
    <row r="88" spans="5:16" x14ac:dyDescent="0.25">
      <c r="F88" t="s">
        <v>74</v>
      </c>
      <c r="H88" s="6">
        <v>0</v>
      </c>
      <c r="I88" s="1"/>
      <c r="J88" s="30">
        <v>0</v>
      </c>
      <c r="K88" s="1"/>
      <c r="L88" s="1">
        <v>0</v>
      </c>
      <c r="M88" s="1">
        <v>8500</v>
      </c>
      <c r="N88" s="1">
        <v>0</v>
      </c>
      <c r="O88" s="1">
        <f>(+N88+M88+K88+I88)/4</f>
        <v>2125</v>
      </c>
      <c r="P88" s="1" t="s">
        <v>163</v>
      </c>
    </row>
    <row r="89" spans="5:16" x14ac:dyDescent="0.25">
      <c r="F89" t="s">
        <v>75</v>
      </c>
      <c r="H89" s="6"/>
      <c r="I89" s="1"/>
      <c r="J89" s="30"/>
      <c r="K89" s="1"/>
      <c r="L89" s="1"/>
    </row>
    <row r="90" spans="5:16" x14ac:dyDescent="0.25">
      <c r="G90" t="s">
        <v>76</v>
      </c>
      <c r="H90" s="6">
        <v>7000</v>
      </c>
      <c r="I90" s="1">
        <v>7170</v>
      </c>
      <c r="J90" s="30">
        <v>7000</v>
      </c>
      <c r="K90" s="1">
        <v>6742.5</v>
      </c>
      <c r="L90" s="1">
        <v>7000</v>
      </c>
      <c r="M90" s="1">
        <v>7045</v>
      </c>
      <c r="N90" s="1">
        <v>7635</v>
      </c>
      <c r="O90" s="1">
        <f t="shared" ref="O90:O98" si="32">(+N90+M90+K90+I90)/4</f>
        <v>7148.125</v>
      </c>
    </row>
    <row r="91" spans="5:16" x14ac:dyDescent="0.25">
      <c r="G91" t="s">
        <v>149</v>
      </c>
      <c r="H91" s="6">
        <v>350</v>
      </c>
      <c r="I91" s="1">
        <v>359.5</v>
      </c>
      <c r="J91" s="30">
        <v>350</v>
      </c>
      <c r="K91" s="1">
        <v>337.13</v>
      </c>
      <c r="L91" s="1">
        <f>L90*0.05</f>
        <v>350</v>
      </c>
      <c r="O91" s="1">
        <f t="shared" si="32"/>
        <v>174.1575</v>
      </c>
    </row>
    <row r="92" spans="5:16" x14ac:dyDescent="0.25">
      <c r="G92" t="s">
        <v>77</v>
      </c>
      <c r="H92" s="6">
        <f>ROUND(535.5,1)</f>
        <v>535.5</v>
      </c>
      <c r="I92" s="1">
        <v>548.51</v>
      </c>
      <c r="J92" s="30">
        <f>ROUND(535.5,1)</f>
        <v>535.5</v>
      </c>
      <c r="K92" s="1">
        <v>515.80999999999995</v>
      </c>
      <c r="L92" s="1">
        <f>L90*0.0765</f>
        <v>535.5</v>
      </c>
      <c r="M92" s="1">
        <v>573.37</v>
      </c>
      <c r="N92" s="1">
        <v>589.80999999999995</v>
      </c>
      <c r="O92" s="1">
        <f t="shared" si="32"/>
        <v>556.875</v>
      </c>
    </row>
    <row r="93" spans="5:16" x14ac:dyDescent="0.25">
      <c r="G93" t="s">
        <v>135</v>
      </c>
      <c r="H93" s="6">
        <v>0</v>
      </c>
      <c r="I93" s="1"/>
      <c r="J93" s="30">
        <v>0</v>
      </c>
      <c r="K93" s="1"/>
      <c r="L93" s="1">
        <v>0</v>
      </c>
      <c r="M93" s="1">
        <v>0</v>
      </c>
      <c r="N93" s="1">
        <v>270</v>
      </c>
      <c r="O93" s="1">
        <f t="shared" si="32"/>
        <v>67.5</v>
      </c>
    </row>
    <row r="94" spans="5:16" x14ac:dyDescent="0.25">
      <c r="F94" t="s">
        <v>78</v>
      </c>
      <c r="H94" s="6">
        <f>SUM(H90:H93)</f>
        <v>7885.5</v>
      </c>
      <c r="I94" s="1">
        <f t="shared" ref="I94:N94" si="33">SUM(I90:I93)</f>
        <v>8078.01</v>
      </c>
      <c r="J94" s="30">
        <f t="shared" si="33"/>
        <v>7885.5</v>
      </c>
      <c r="K94" s="1">
        <f t="shared" si="33"/>
        <v>7595.4400000000005</v>
      </c>
      <c r="L94" s="1">
        <f t="shared" si="33"/>
        <v>7885.5</v>
      </c>
      <c r="M94" s="1">
        <f t="shared" si="33"/>
        <v>7618.37</v>
      </c>
      <c r="N94" s="1">
        <f t="shared" si="33"/>
        <v>8494.81</v>
      </c>
      <c r="O94" s="1">
        <f t="shared" si="32"/>
        <v>7946.6575000000012</v>
      </c>
    </row>
    <row r="95" spans="5:16" x14ac:dyDescent="0.25">
      <c r="F95" t="s">
        <v>79</v>
      </c>
      <c r="H95" s="6">
        <v>23000</v>
      </c>
      <c r="I95" s="1">
        <v>22066.39</v>
      </c>
      <c r="J95" s="30">
        <v>22000</v>
      </c>
      <c r="K95" s="1">
        <v>21661</v>
      </c>
      <c r="L95" s="1">
        <v>21000</v>
      </c>
      <c r="M95" s="1">
        <v>20846.669999999998</v>
      </c>
      <c r="N95" s="1">
        <v>20515</v>
      </c>
      <c r="O95" s="1">
        <f t="shared" si="32"/>
        <v>21272.264999999999</v>
      </c>
    </row>
    <row r="96" spans="5:16" x14ac:dyDescent="0.25">
      <c r="F96" t="s">
        <v>136</v>
      </c>
      <c r="H96" s="6">
        <v>0</v>
      </c>
      <c r="I96" s="1"/>
      <c r="J96" s="30">
        <v>0</v>
      </c>
      <c r="K96" s="1"/>
      <c r="L96" s="1">
        <v>0</v>
      </c>
      <c r="M96" s="1">
        <v>2656</v>
      </c>
      <c r="N96" s="1">
        <v>0</v>
      </c>
      <c r="O96" s="1">
        <f t="shared" si="32"/>
        <v>664</v>
      </c>
    </row>
    <row r="97" spans="4:16" x14ac:dyDescent="0.25">
      <c r="E97" t="s">
        <v>80</v>
      </c>
      <c r="H97" s="44">
        <f>H96+H95+H94+H88</f>
        <v>30885.5</v>
      </c>
      <c r="I97" s="1">
        <f t="shared" ref="I97:L97" si="34">I96+I95+I94+I88</f>
        <v>30144.400000000001</v>
      </c>
      <c r="J97" s="30">
        <f t="shared" si="34"/>
        <v>29885.5</v>
      </c>
      <c r="K97" s="1">
        <f t="shared" si="34"/>
        <v>29256.440000000002</v>
      </c>
      <c r="L97" s="1">
        <f t="shared" si="34"/>
        <v>28885.5</v>
      </c>
      <c r="M97" s="1">
        <f t="shared" ref="M97" si="35">M96+M95+M94+M88</f>
        <v>39621.039999999994</v>
      </c>
      <c r="N97" s="1">
        <f t="shared" ref="N97" si="36">N96+N95+N94+N88</f>
        <v>29009.809999999998</v>
      </c>
      <c r="O97" s="1">
        <f t="shared" si="32"/>
        <v>32007.922500000001</v>
      </c>
    </row>
    <row r="98" spans="4:16" x14ac:dyDescent="0.25">
      <c r="E98" s="2" t="s">
        <v>81</v>
      </c>
      <c r="H98" s="44">
        <v>5000</v>
      </c>
      <c r="I98" s="1">
        <v>8318.6</v>
      </c>
      <c r="J98" s="30">
        <v>12000</v>
      </c>
      <c r="K98" s="1">
        <v>9223.36</v>
      </c>
      <c r="L98" s="1">
        <v>8000</v>
      </c>
      <c r="M98" s="1">
        <v>40965.71</v>
      </c>
      <c r="N98" s="1">
        <v>21043.7</v>
      </c>
      <c r="O98" s="1">
        <f t="shared" si="32"/>
        <v>19887.842500000002</v>
      </c>
    </row>
    <row r="99" spans="4:16" x14ac:dyDescent="0.25">
      <c r="E99" s="2" t="s">
        <v>82</v>
      </c>
      <c r="H99" s="6"/>
      <c r="I99" s="1"/>
      <c r="J99" s="30"/>
      <c r="K99" s="1"/>
      <c r="L99" s="1"/>
    </row>
    <row r="100" spans="4:16" x14ac:dyDescent="0.25">
      <c r="F100" t="s">
        <v>83</v>
      </c>
      <c r="H100" s="6"/>
      <c r="I100" s="1"/>
      <c r="J100" s="30"/>
      <c r="K100" s="1"/>
      <c r="L100" s="1"/>
    </row>
    <row r="101" spans="4:16" x14ac:dyDescent="0.25">
      <c r="G101" t="s">
        <v>84</v>
      </c>
      <c r="H101" s="6">
        <v>17500</v>
      </c>
      <c r="I101" s="1">
        <v>15981.5</v>
      </c>
      <c r="J101" s="30">
        <v>20000</v>
      </c>
      <c r="K101" s="1">
        <v>16044</v>
      </c>
      <c r="L101" s="1">
        <v>20000</v>
      </c>
      <c r="M101" s="1">
        <v>13312.5</v>
      </c>
      <c r="N101" s="1">
        <v>21072.080000000002</v>
      </c>
      <c r="O101" s="1">
        <f t="shared" ref="O101:O111" si="37">(+N101+M101+K101+I101)/4</f>
        <v>16602.52</v>
      </c>
    </row>
    <row r="102" spans="4:16" x14ac:dyDescent="0.25">
      <c r="G102" t="s">
        <v>137</v>
      </c>
      <c r="H102" s="6">
        <v>800</v>
      </c>
      <c r="I102" s="1">
        <v>844.59</v>
      </c>
      <c r="J102" s="30">
        <v>800</v>
      </c>
      <c r="K102" s="1">
        <v>714.89</v>
      </c>
      <c r="L102" s="1">
        <v>800</v>
      </c>
      <c r="M102" s="1">
        <v>0</v>
      </c>
      <c r="N102" s="1">
        <v>115.53</v>
      </c>
      <c r="O102" s="1">
        <f t="shared" si="37"/>
        <v>418.7525</v>
      </c>
    </row>
    <row r="103" spans="4:16" x14ac:dyDescent="0.25">
      <c r="G103" t="s">
        <v>138</v>
      </c>
      <c r="H103" s="6">
        <f>H101*0.075</f>
        <v>1312.5</v>
      </c>
      <c r="I103" s="1">
        <v>4129.37</v>
      </c>
      <c r="J103" s="30">
        <f>J101*0.075</f>
        <v>1500</v>
      </c>
      <c r="K103" s="1">
        <v>1089.24</v>
      </c>
      <c r="L103" s="1">
        <v>0</v>
      </c>
      <c r="M103" s="1">
        <v>0</v>
      </c>
      <c r="N103" s="1">
        <v>7.5</v>
      </c>
      <c r="O103" s="1">
        <f t="shared" si="37"/>
        <v>1306.5274999999999</v>
      </c>
    </row>
    <row r="104" spans="4:16" x14ac:dyDescent="0.25">
      <c r="G104" t="s">
        <v>85</v>
      </c>
      <c r="H104" s="6">
        <f>H101*0.0765</f>
        <v>1338.75</v>
      </c>
      <c r="I104" s="1">
        <v>1159.8599999999999</v>
      </c>
      <c r="J104" s="30">
        <f>J101*0.0765</f>
        <v>1530</v>
      </c>
      <c r="K104" s="1">
        <v>1227.3599999999999</v>
      </c>
      <c r="L104" s="1">
        <f>L101*0.0765</f>
        <v>1530</v>
      </c>
      <c r="M104" s="1">
        <v>1018.43</v>
      </c>
      <c r="N104" s="1">
        <v>814.91</v>
      </c>
      <c r="O104" s="1">
        <f t="shared" si="37"/>
        <v>1055.1399999999999</v>
      </c>
    </row>
    <row r="105" spans="4:16" x14ac:dyDescent="0.25">
      <c r="G105" t="s">
        <v>86</v>
      </c>
      <c r="H105" s="6">
        <v>0</v>
      </c>
      <c r="I105" s="1"/>
      <c r="J105" s="30">
        <v>0</v>
      </c>
      <c r="K105" s="1"/>
      <c r="L105" s="1">
        <v>10000</v>
      </c>
      <c r="M105" s="1">
        <v>9942.8799999999992</v>
      </c>
      <c r="N105" s="1">
        <v>6268.29</v>
      </c>
      <c r="O105" s="1">
        <f t="shared" si="37"/>
        <v>4052.7924999999996</v>
      </c>
    </row>
    <row r="106" spans="4:16" x14ac:dyDescent="0.25">
      <c r="F106" t="s">
        <v>87</v>
      </c>
      <c r="H106" s="6">
        <f>SUM(H101:H105)</f>
        <v>20951.25</v>
      </c>
      <c r="I106" s="1">
        <f t="shared" ref="I106:L106" si="38">SUM(I101:I105)</f>
        <v>22115.32</v>
      </c>
      <c r="J106" s="30">
        <f t="shared" si="38"/>
        <v>23830</v>
      </c>
      <c r="K106" s="1">
        <f t="shared" si="38"/>
        <v>19075.490000000002</v>
      </c>
      <c r="L106" s="1">
        <f t="shared" si="38"/>
        <v>32330</v>
      </c>
      <c r="M106" s="1">
        <f t="shared" ref="M106" si="39">SUM(M101:M105)</f>
        <v>24273.809999999998</v>
      </c>
      <c r="N106" s="1">
        <f t="shared" ref="N106" si="40">SUM(N101:N105)</f>
        <v>28278.31</v>
      </c>
      <c r="O106" s="1">
        <f t="shared" si="37"/>
        <v>23435.732499999998</v>
      </c>
    </row>
    <row r="107" spans="4:16" x14ac:dyDescent="0.25">
      <c r="F107" t="s">
        <v>88</v>
      </c>
      <c r="H107" s="6">
        <v>1000</v>
      </c>
      <c r="I107" s="1">
        <v>1030.58</v>
      </c>
      <c r="J107" s="30">
        <v>925</v>
      </c>
      <c r="K107" s="1">
        <v>824.68</v>
      </c>
      <c r="L107" s="1">
        <v>800</v>
      </c>
      <c r="M107" s="1">
        <v>762.8</v>
      </c>
      <c r="N107" s="1">
        <v>156.78</v>
      </c>
      <c r="O107" s="1">
        <f t="shared" si="37"/>
        <v>693.70999999999992</v>
      </c>
      <c r="P107" s="1" t="s">
        <v>151</v>
      </c>
    </row>
    <row r="108" spans="4:16" x14ac:dyDescent="0.25">
      <c r="F108" s="23" t="s">
        <v>139</v>
      </c>
      <c r="H108" s="6">
        <v>0</v>
      </c>
      <c r="I108" s="1"/>
      <c r="J108" s="30">
        <v>0</v>
      </c>
      <c r="K108" s="1"/>
      <c r="L108" s="1">
        <v>0</v>
      </c>
      <c r="M108" s="1">
        <v>0</v>
      </c>
      <c r="N108" s="1">
        <v>35</v>
      </c>
      <c r="O108" s="1">
        <f t="shared" si="37"/>
        <v>8.75</v>
      </c>
    </row>
    <row r="109" spans="4:16" x14ac:dyDescent="0.25">
      <c r="E109" t="s">
        <v>89</v>
      </c>
      <c r="H109" s="44">
        <f>H108+H107+H106</f>
        <v>21951.25</v>
      </c>
      <c r="I109" s="1">
        <f t="shared" ref="I109:L109" si="41">I108+I107+I106</f>
        <v>23145.9</v>
      </c>
      <c r="J109" s="30">
        <f t="shared" si="41"/>
        <v>24755</v>
      </c>
      <c r="K109" s="1">
        <f t="shared" si="41"/>
        <v>19900.170000000002</v>
      </c>
      <c r="L109" s="1">
        <f t="shared" si="41"/>
        <v>33130</v>
      </c>
      <c r="M109" s="1">
        <f>ROUND(M99+SUM(M106:M108),5)</f>
        <v>25036.61</v>
      </c>
      <c r="N109" s="1">
        <f>ROUND(N99+SUM(N106:N108),5)</f>
        <v>28470.09</v>
      </c>
      <c r="O109" s="1">
        <f t="shared" si="37"/>
        <v>24138.192499999997</v>
      </c>
    </row>
    <row r="110" spans="4:16" x14ac:dyDescent="0.25">
      <c r="E110" t="s">
        <v>90</v>
      </c>
      <c r="H110" s="6">
        <v>0</v>
      </c>
      <c r="I110" s="1"/>
      <c r="J110" s="30">
        <v>0</v>
      </c>
      <c r="K110" s="1"/>
      <c r="L110" s="1">
        <v>0</v>
      </c>
      <c r="M110" s="1">
        <v>0</v>
      </c>
      <c r="N110" s="1">
        <v>0</v>
      </c>
      <c r="O110" s="1">
        <f t="shared" si="37"/>
        <v>0</v>
      </c>
    </row>
    <row r="111" spans="4:16" x14ac:dyDescent="0.25">
      <c r="D111" t="s">
        <v>91</v>
      </c>
      <c r="H111" s="6">
        <f>ROUND(H49+H86+SUM(H97:H98)+SUM(H109:H110),5)</f>
        <v>138774.25</v>
      </c>
      <c r="I111" s="1">
        <f t="shared" ref="I111:L111" si="42">ROUND(I49+I86+SUM(I97:I98)+SUM(I109:I110),5)</f>
        <v>154770.9</v>
      </c>
      <c r="J111" s="30">
        <f t="shared" si="42"/>
        <v>148292.5</v>
      </c>
      <c r="K111" s="1">
        <f t="shared" si="42"/>
        <v>137350.65</v>
      </c>
      <c r="L111" s="1">
        <f t="shared" si="42"/>
        <v>132350.5</v>
      </c>
      <c r="M111" s="1">
        <f t="shared" ref="M111" si="43">ROUND(M49+M86+SUM(M97:M98)+SUM(M109:M110),5)</f>
        <v>181750.5</v>
      </c>
      <c r="N111" s="1">
        <f t="shared" ref="N111" si="44">ROUND(N49+N86+SUM(N97:N98)+SUM(N109:N110),5)</f>
        <v>130944.04</v>
      </c>
      <c r="O111" s="1">
        <f t="shared" si="37"/>
        <v>151204.02249999999</v>
      </c>
    </row>
    <row r="112" spans="4:16" x14ac:dyDescent="0.25">
      <c r="D112" s="2" t="s">
        <v>92</v>
      </c>
      <c r="H112" s="6"/>
      <c r="I112" s="1"/>
      <c r="J112" s="30"/>
      <c r="K112" s="1"/>
      <c r="L112" s="1"/>
    </row>
    <row r="113" spans="4:15" x14ac:dyDescent="0.25">
      <c r="E113" t="s">
        <v>93</v>
      </c>
      <c r="H113" s="6"/>
      <c r="I113" s="1"/>
      <c r="J113" s="30"/>
      <c r="K113" s="1"/>
      <c r="L113" s="1"/>
    </row>
    <row r="114" spans="4:15" x14ac:dyDescent="0.25">
      <c r="F114" t="s">
        <v>94</v>
      </c>
      <c r="H114" s="6">
        <v>87500</v>
      </c>
      <c r="I114" s="1">
        <v>85500</v>
      </c>
      <c r="J114" s="30">
        <v>86000</v>
      </c>
      <c r="K114" s="1">
        <v>85500</v>
      </c>
      <c r="L114" s="1">
        <v>85000</v>
      </c>
      <c r="M114" s="1">
        <v>83500</v>
      </c>
      <c r="N114" s="1">
        <v>81000</v>
      </c>
      <c r="O114" s="1">
        <f t="shared" ref="O114:O119" si="45">(+N114+M114+K114+I114)/4</f>
        <v>83875</v>
      </c>
    </row>
    <row r="115" spans="4:15" x14ac:dyDescent="0.25">
      <c r="F115" t="s">
        <v>95</v>
      </c>
      <c r="H115" s="6">
        <v>150</v>
      </c>
      <c r="I115" s="1">
        <v>149.38</v>
      </c>
      <c r="J115" s="30">
        <v>200</v>
      </c>
      <c r="K115" s="1">
        <v>148.37</v>
      </c>
      <c r="L115" s="1">
        <v>200</v>
      </c>
      <c r="M115" s="1">
        <v>206</v>
      </c>
      <c r="N115" s="1">
        <v>80</v>
      </c>
      <c r="O115" s="1">
        <f t="shared" si="45"/>
        <v>145.9375</v>
      </c>
    </row>
    <row r="116" spans="4:15" x14ac:dyDescent="0.25">
      <c r="E116" t="s">
        <v>96</v>
      </c>
      <c r="H116" s="6">
        <f>SUM(H114:H115)</f>
        <v>87650</v>
      </c>
      <c r="I116" s="1">
        <f t="shared" ref="I116:L116" si="46">SUM(I114:I115)</f>
        <v>85649.38</v>
      </c>
      <c r="J116" s="30">
        <f t="shared" si="46"/>
        <v>86200</v>
      </c>
      <c r="K116" s="1">
        <f t="shared" si="46"/>
        <v>85648.37</v>
      </c>
      <c r="L116" s="1">
        <f t="shared" si="46"/>
        <v>85200</v>
      </c>
      <c r="M116" s="1">
        <f>ROUND(SUM(M113:M115),5)</f>
        <v>83706</v>
      </c>
      <c r="N116" s="1">
        <f>ROUND(SUM(N113:N115),5)</f>
        <v>81080</v>
      </c>
      <c r="O116" s="1">
        <f t="shared" si="45"/>
        <v>84020.9375</v>
      </c>
    </row>
    <row r="117" spans="4:15" x14ac:dyDescent="0.25">
      <c r="E117" t="s">
        <v>97</v>
      </c>
      <c r="H117" s="6">
        <v>1000</v>
      </c>
      <c r="I117" s="1">
        <v>2254.23</v>
      </c>
      <c r="J117" s="30">
        <v>1500</v>
      </c>
      <c r="K117" s="1">
        <v>95.48</v>
      </c>
      <c r="L117" s="1">
        <v>2500</v>
      </c>
      <c r="M117" s="1">
        <v>115.69</v>
      </c>
      <c r="N117" s="1">
        <v>132.81</v>
      </c>
      <c r="O117" s="1">
        <f t="shared" si="45"/>
        <v>649.55250000000001</v>
      </c>
    </row>
    <row r="118" spans="4:15" x14ac:dyDescent="0.25">
      <c r="E118" t="s">
        <v>98</v>
      </c>
      <c r="H118" s="6">
        <v>200</v>
      </c>
      <c r="I118" s="1">
        <v>0</v>
      </c>
      <c r="J118" s="30">
        <v>500</v>
      </c>
      <c r="K118" s="1">
        <v>180</v>
      </c>
      <c r="L118" s="1">
        <v>2000</v>
      </c>
      <c r="M118" s="1">
        <v>1650</v>
      </c>
      <c r="N118" s="1">
        <v>1100</v>
      </c>
      <c r="O118" s="1">
        <f t="shared" si="45"/>
        <v>732.5</v>
      </c>
    </row>
    <row r="119" spans="4:15" x14ac:dyDescent="0.25">
      <c r="D119" t="s">
        <v>99</v>
      </c>
      <c r="H119" s="44">
        <f>H118+H117+H116</f>
        <v>88850</v>
      </c>
      <c r="I119" s="1">
        <f t="shared" ref="I119:L119" si="47">I118+I117+I116</f>
        <v>87903.61</v>
      </c>
      <c r="J119" s="30">
        <f t="shared" si="47"/>
        <v>88200</v>
      </c>
      <c r="K119" s="1">
        <f t="shared" si="47"/>
        <v>85923.849999999991</v>
      </c>
      <c r="L119" s="1">
        <f t="shared" si="47"/>
        <v>89700</v>
      </c>
      <c r="M119" s="1">
        <f>ROUND(M112+SUM(M116:M118),5)</f>
        <v>85471.69</v>
      </c>
      <c r="N119" s="1">
        <f>ROUND(N112+SUM(N116:N118),5)</f>
        <v>82312.81</v>
      </c>
      <c r="O119" s="1">
        <f t="shared" si="45"/>
        <v>85402.989999999991</v>
      </c>
    </row>
    <row r="120" spans="4:15" x14ac:dyDescent="0.25">
      <c r="D120" s="2" t="s">
        <v>100</v>
      </c>
      <c r="H120" s="6"/>
      <c r="I120" s="1"/>
      <c r="J120" s="30"/>
      <c r="K120" s="1"/>
      <c r="L120" s="1"/>
    </row>
    <row r="121" spans="4:15" x14ac:dyDescent="0.25">
      <c r="E121" t="s">
        <v>101</v>
      </c>
      <c r="H121" s="6"/>
      <c r="I121" s="1"/>
      <c r="J121" s="30"/>
      <c r="K121" s="1"/>
      <c r="L121" s="1"/>
    </row>
    <row r="122" spans="4:15" x14ac:dyDescent="0.25">
      <c r="F122" t="s">
        <v>140</v>
      </c>
      <c r="H122" s="6">
        <v>400</v>
      </c>
      <c r="I122" s="1">
        <v>308.63</v>
      </c>
      <c r="J122" s="30">
        <v>1300</v>
      </c>
      <c r="K122" s="1">
        <v>1207.42</v>
      </c>
      <c r="L122" s="1">
        <v>0</v>
      </c>
      <c r="M122" s="1">
        <v>0</v>
      </c>
      <c r="N122" s="1">
        <v>135.47</v>
      </c>
      <c r="O122" s="1">
        <f t="shared" ref="O122:O135" si="48">(+N122+M122+K122+I122)/4</f>
        <v>412.88</v>
      </c>
    </row>
    <row r="123" spans="4:15" x14ac:dyDescent="0.25">
      <c r="F123" t="s">
        <v>141</v>
      </c>
      <c r="H123" s="6">
        <v>100</v>
      </c>
      <c r="I123" s="1">
        <v>66.680000000000007</v>
      </c>
      <c r="J123" s="30">
        <v>100</v>
      </c>
      <c r="K123" s="1">
        <v>0</v>
      </c>
      <c r="L123" s="1">
        <v>100</v>
      </c>
      <c r="M123" s="1">
        <v>0</v>
      </c>
      <c r="N123" s="1">
        <v>27.17</v>
      </c>
      <c r="O123" s="1">
        <f t="shared" si="48"/>
        <v>23.462500000000002</v>
      </c>
    </row>
    <row r="124" spans="4:15" x14ac:dyDescent="0.25">
      <c r="F124" t="s">
        <v>102</v>
      </c>
      <c r="H124" s="6">
        <v>16000</v>
      </c>
      <c r="I124" s="1">
        <v>13516.59</v>
      </c>
      <c r="J124" s="30">
        <v>16000</v>
      </c>
      <c r="K124" s="1">
        <v>15218.17</v>
      </c>
      <c r="L124" s="1">
        <v>11000</v>
      </c>
      <c r="M124" s="1">
        <v>17712.84</v>
      </c>
      <c r="N124" s="1">
        <v>5905.72</v>
      </c>
      <c r="O124" s="1">
        <f t="shared" si="48"/>
        <v>13088.330000000002</v>
      </c>
    </row>
    <row r="125" spans="4:15" x14ac:dyDescent="0.25">
      <c r="F125" t="s">
        <v>103</v>
      </c>
      <c r="H125" s="6">
        <v>1500</v>
      </c>
      <c r="I125" s="1">
        <v>1575.72</v>
      </c>
      <c r="J125" s="30">
        <v>900</v>
      </c>
      <c r="K125" s="1">
        <v>688.82</v>
      </c>
      <c r="L125" s="1">
        <v>600</v>
      </c>
      <c r="M125" s="1">
        <v>718.84</v>
      </c>
      <c r="N125" s="1">
        <v>0</v>
      </c>
      <c r="O125" s="1">
        <f t="shared" si="48"/>
        <v>745.84500000000003</v>
      </c>
    </row>
    <row r="126" spans="4:15" x14ac:dyDescent="0.25">
      <c r="F126" t="s">
        <v>104</v>
      </c>
      <c r="H126" s="6">
        <v>1500</v>
      </c>
      <c r="I126" s="1">
        <v>2180.33</v>
      </c>
      <c r="J126" s="30">
        <v>1500</v>
      </c>
      <c r="K126" s="1">
        <v>1747.62</v>
      </c>
      <c r="L126" s="1">
        <v>750</v>
      </c>
      <c r="M126" s="1">
        <v>831.25</v>
      </c>
      <c r="N126" s="1">
        <v>309.76</v>
      </c>
      <c r="O126" s="1">
        <f t="shared" si="48"/>
        <v>1267.24</v>
      </c>
    </row>
    <row r="127" spans="4:15" x14ac:dyDescent="0.25">
      <c r="F127" t="s">
        <v>105</v>
      </c>
      <c r="H127" s="6">
        <v>7000</v>
      </c>
      <c r="I127" s="1">
        <v>7060.71</v>
      </c>
      <c r="J127" s="30">
        <v>10000</v>
      </c>
      <c r="K127" s="1">
        <v>4972.74</v>
      </c>
      <c r="L127" s="1">
        <v>15000</v>
      </c>
      <c r="M127" s="1">
        <v>15639.79</v>
      </c>
      <c r="N127" s="1">
        <v>5877.27</v>
      </c>
      <c r="O127" s="1">
        <f t="shared" si="48"/>
        <v>8387.6275000000005</v>
      </c>
    </row>
    <row r="128" spans="4:15" x14ac:dyDescent="0.25">
      <c r="F128" t="s">
        <v>142</v>
      </c>
      <c r="H128" s="6">
        <v>1000</v>
      </c>
      <c r="I128" s="1">
        <v>1171.32</v>
      </c>
      <c r="J128" s="30">
        <v>1000</v>
      </c>
      <c r="K128" s="1">
        <v>2057.9</v>
      </c>
      <c r="L128" s="1">
        <v>1000</v>
      </c>
      <c r="M128" s="1">
        <v>1766</v>
      </c>
      <c r="N128" s="1">
        <v>1608.74</v>
      </c>
      <c r="O128" s="1">
        <f t="shared" si="48"/>
        <v>1650.9899999999998</v>
      </c>
    </row>
    <row r="129" spans="6:16" x14ac:dyDescent="0.25">
      <c r="F129" s="23" t="s">
        <v>106</v>
      </c>
      <c r="H129" s="6">
        <v>25000</v>
      </c>
      <c r="I129" s="1">
        <v>87601.53</v>
      </c>
      <c r="J129" s="30">
        <v>100000</v>
      </c>
      <c r="K129" s="1">
        <v>32802.49</v>
      </c>
      <c r="L129" s="1">
        <f>8000+5000</f>
        <v>13000</v>
      </c>
      <c r="M129" s="1">
        <v>63192.72</v>
      </c>
      <c r="N129" s="1">
        <v>108198.17</v>
      </c>
      <c r="O129" s="1">
        <f t="shared" si="48"/>
        <v>72948.727500000008</v>
      </c>
      <c r="P129" s="1" t="s">
        <v>155</v>
      </c>
    </row>
    <row r="130" spans="6:16" x14ac:dyDescent="0.25">
      <c r="F130" t="s">
        <v>107</v>
      </c>
      <c r="H130" s="6">
        <v>1500</v>
      </c>
      <c r="I130" s="1">
        <v>1277.5999999999999</v>
      </c>
      <c r="J130" s="30">
        <v>2000</v>
      </c>
      <c r="K130" s="1">
        <v>5998.92</v>
      </c>
      <c r="L130" s="1">
        <v>250</v>
      </c>
      <c r="M130" s="1">
        <v>1665.37</v>
      </c>
      <c r="N130" s="1">
        <v>694.75</v>
      </c>
      <c r="O130" s="1">
        <f t="shared" si="48"/>
        <v>2409.1600000000003</v>
      </c>
    </row>
    <row r="131" spans="6:16" x14ac:dyDescent="0.25">
      <c r="F131" s="23" t="s">
        <v>108</v>
      </c>
      <c r="H131" s="6">
        <v>49500</v>
      </c>
      <c r="I131" s="1">
        <v>29724.36</v>
      </c>
      <c r="J131" s="30">
        <v>40000</v>
      </c>
      <c r="K131" s="1">
        <v>88520.43</v>
      </c>
      <c r="L131" s="1">
        <v>62850</v>
      </c>
      <c r="M131" s="1">
        <v>37257.040000000001</v>
      </c>
      <c r="N131" s="1">
        <v>34677.56</v>
      </c>
      <c r="O131" s="1">
        <f t="shared" si="48"/>
        <v>47544.847500000003</v>
      </c>
      <c r="P131" s="1" t="s">
        <v>159</v>
      </c>
    </row>
    <row r="132" spans="6:16" x14ac:dyDescent="0.25">
      <c r="F132" t="s">
        <v>109</v>
      </c>
      <c r="H132" s="6">
        <v>60</v>
      </c>
      <c r="I132" s="1">
        <v>57.75</v>
      </c>
      <c r="J132" s="30">
        <v>60</v>
      </c>
      <c r="K132" s="1">
        <v>200</v>
      </c>
      <c r="L132" s="1">
        <v>60</v>
      </c>
      <c r="M132" s="1">
        <v>48</v>
      </c>
      <c r="N132" s="1">
        <v>-16</v>
      </c>
      <c r="O132" s="1">
        <f t="shared" si="48"/>
        <v>72.4375</v>
      </c>
    </row>
    <row r="133" spans="6:16" x14ac:dyDescent="0.25">
      <c r="F133" t="s">
        <v>110</v>
      </c>
      <c r="H133" s="6">
        <v>1500</v>
      </c>
      <c r="I133" s="1">
        <v>1309</v>
      </c>
      <c r="J133" s="30">
        <v>2500</v>
      </c>
      <c r="K133" s="1">
        <v>1324</v>
      </c>
      <c r="L133" s="1">
        <v>1500</v>
      </c>
      <c r="M133" s="1">
        <v>1249</v>
      </c>
      <c r="N133" s="1">
        <v>1768</v>
      </c>
      <c r="O133" s="1">
        <f t="shared" si="48"/>
        <v>1412.5</v>
      </c>
    </row>
    <row r="134" spans="6:16" x14ac:dyDescent="0.25">
      <c r="F134" t="s">
        <v>111</v>
      </c>
      <c r="H134" s="6">
        <v>10000</v>
      </c>
      <c r="I134" s="1">
        <v>9505.9699999999993</v>
      </c>
      <c r="J134" s="30">
        <v>10000</v>
      </c>
      <c r="K134" s="1">
        <v>11317.65</v>
      </c>
      <c r="L134" s="1">
        <v>10000</v>
      </c>
      <c r="M134" s="1">
        <v>14350.97</v>
      </c>
      <c r="N134" s="1">
        <v>18274.75</v>
      </c>
      <c r="O134" s="1">
        <f t="shared" si="48"/>
        <v>13362.335000000001</v>
      </c>
    </row>
    <row r="135" spans="6:16" x14ac:dyDescent="0.25">
      <c r="F135" s="23" t="s">
        <v>112</v>
      </c>
      <c r="H135" s="6">
        <v>10000</v>
      </c>
      <c r="I135" s="1">
        <v>8292.85</v>
      </c>
      <c r="J135" s="30">
        <v>10000</v>
      </c>
      <c r="K135" s="1">
        <v>11948.83</v>
      </c>
      <c r="L135" s="1">
        <v>10000</v>
      </c>
      <c r="M135" s="1">
        <v>24508.52</v>
      </c>
      <c r="N135" s="1">
        <v>1502.5</v>
      </c>
      <c r="O135" s="1">
        <f t="shared" si="48"/>
        <v>11563.174999999999</v>
      </c>
    </row>
    <row r="136" spans="6:16" x14ac:dyDescent="0.25">
      <c r="F136" t="s">
        <v>113</v>
      </c>
      <c r="H136" s="6"/>
      <c r="I136" s="1"/>
      <c r="J136" s="30"/>
      <c r="K136" s="1"/>
      <c r="L136" s="1"/>
    </row>
    <row r="137" spans="6:16" x14ac:dyDescent="0.25">
      <c r="G137" t="s">
        <v>114</v>
      </c>
      <c r="H137" s="6">
        <v>80000</v>
      </c>
      <c r="I137" s="1">
        <v>73029.39</v>
      </c>
      <c r="J137" s="30">
        <v>85000</v>
      </c>
      <c r="K137" s="1">
        <v>81221.03</v>
      </c>
      <c r="L137" s="1">
        <v>75000</v>
      </c>
      <c r="M137" s="1">
        <v>70768.3</v>
      </c>
      <c r="N137" s="1">
        <v>48724.29</v>
      </c>
      <c r="O137" s="1">
        <f>(+N137+M137+K137+I137)/4</f>
        <v>68435.752500000002</v>
      </c>
    </row>
    <row r="138" spans="6:16" x14ac:dyDescent="0.25">
      <c r="G138" t="s">
        <v>148</v>
      </c>
      <c r="H138" s="6">
        <v>0</v>
      </c>
      <c r="I138" s="1"/>
      <c r="J138" s="30">
        <v>0</v>
      </c>
      <c r="K138" s="1"/>
      <c r="L138" s="1">
        <v>0</v>
      </c>
      <c r="O138" s="1">
        <f>(+N138+M138+K138+I138)/4</f>
        <v>0</v>
      </c>
    </row>
    <row r="139" spans="6:16" x14ac:dyDescent="0.25">
      <c r="G139" t="s">
        <v>235</v>
      </c>
      <c r="H139" s="6">
        <v>1800</v>
      </c>
      <c r="I139" s="1">
        <v>1624.75</v>
      </c>
      <c r="J139" s="30"/>
      <c r="K139" s="1">
        <v>0</v>
      </c>
      <c r="L139" s="1"/>
      <c r="O139" s="1">
        <f>(+N139+M139+K139+I139)/4</f>
        <v>406.1875</v>
      </c>
    </row>
    <row r="140" spans="6:16" x14ac:dyDescent="0.25">
      <c r="G140" t="s">
        <v>115</v>
      </c>
      <c r="H140" s="6">
        <f>H137*0.075</f>
        <v>6000</v>
      </c>
      <c r="I140" s="1">
        <v>6605.25</v>
      </c>
      <c r="J140" s="30">
        <f>J137*0.075</f>
        <v>6375</v>
      </c>
      <c r="K140" s="1">
        <v>5415.72</v>
      </c>
      <c r="L140" s="1">
        <v>5500</v>
      </c>
      <c r="M140" s="1">
        <v>4342.5</v>
      </c>
      <c r="N140" s="1">
        <v>3544.88</v>
      </c>
      <c r="O140" s="1">
        <f t="shared" ref="O140:O160" si="49">(+N140+M140+K140+I140)/4</f>
        <v>4977.0874999999996</v>
      </c>
    </row>
    <row r="141" spans="6:16" x14ac:dyDescent="0.25">
      <c r="G141" t="s">
        <v>116</v>
      </c>
      <c r="H141" s="6">
        <f>H137*0.0765</f>
        <v>6120</v>
      </c>
      <c r="I141" s="1">
        <v>5379.24</v>
      </c>
      <c r="J141" s="30">
        <f>J137*0.0765</f>
        <v>6502.5</v>
      </c>
      <c r="K141" s="1">
        <v>5987.53</v>
      </c>
      <c r="L141" s="1">
        <f>L137*0.0765</f>
        <v>5737.5</v>
      </c>
      <c r="M141" s="1">
        <v>5298.78</v>
      </c>
      <c r="N141" s="1">
        <v>3641.16</v>
      </c>
      <c r="O141" s="1">
        <f t="shared" si="49"/>
        <v>5076.6774999999998</v>
      </c>
    </row>
    <row r="142" spans="6:16" x14ac:dyDescent="0.25">
      <c r="G142" t="s">
        <v>117</v>
      </c>
      <c r="H142" s="6">
        <v>3000</v>
      </c>
      <c r="I142" s="1">
        <v>2712.6</v>
      </c>
      <c r="J142" s="30">
        <v>3000</v>
      </c>
      <c r="K142" s="1">
        <v>2952.6</v>
      </c>
      <c r="L142" s="1">
        <v>2500</v>
      </c>
      <c r="M142" s="1">
        <v>1503</v>
      </c>
      <c r="N142" s="1">
        <v>899.4</v>
      </c>
      <c r="O142" s="1">
        <f t="shared" si="49"/>
        <v>2016.9</v>
      </c>
    </row>
    <row r="143" spans="6:16" x14ac:dyDescent="0.25">
      <c r="G143" t="s">
        <v>118</v>
      </c>
      <c r="H143" s="6">
        <f>925*3*12</f>
        <v>33300</v>
      </c>
      <c r="I143" s="1">
        <v>31065</v>
      </c>
      <c r="J143" s="30">
        <v>30240</v>
      </c>
      <c r="K143" s="1">
        <v>30240</v>
      </c>
      <c r="L143" s="1">
        <f>840*3*12</f>
        <v>30240</v>
      </c>
      <c r="M143" s="1">
        <v>15658</v>
      </c>
      <c r="N143" s="1">
        <v>9705.09</v>
      </c>
      <c r="O143" s="1">
        <f t="shared" si="49"/>
        <v>21667.022499999999</v>
      </c>
    </row>
    <row r="144" spans="6:16" x14ac:dyDescent="0.25">
      <c r="G144" t="s">
        <v>119</v>
      </c>
      <c r="H144" s="6">
        <v>1000</v>
      </c>
      <c r="I144" s="1">
        <v>168.79</v>
      </c>
      <c r="J144" s="30">
        <v>1000</v>
      </c>
      <c r="K144" s="1">
        <v>363.99</v>
      </c>
      <c r="L144" s="1">
        <v>5000</v>
      </c>
      <c r="M144" s="1">
        <v>5870</v>
      </c>
      <c r="N144" s="1">
        <v>140648.57999999999</v>
      </c>
      <c r="O144" s="1">
        <f t="shared" si="49"/>
        <v>36762.839999999997</v>
      </c>
    </row>
    <row r="145" spans="2:15" x14ac:dyDescent="0.25">
      <c r="F145" t="s">
        <v>120</v>
      </c>
      <c r="H145" s="6">
        <f>SUM(H137:H144)</f>
        <v>131220</v>
      </c>
      <c r="I145" s="1">
        <f t="shared" ref="I145:L145" si="50">SUM(I137:I144)</f>
        <v>120585.02</v>
      </c>
      <c r="J145" s="30">
        <f t="shared" si="50"/>
        <v>132117.5</v>
      </c>
      <c r="K145" s="1">
        <f t="shared" si="50"/>
        <v>126180.87000000001</v>
      </c>
      <c r="L145" s="1">
        <f t="shared" si="50"/>
        <v>123977.5</v>
      </c>
      <c r="M145" s="1">
        <f t="shared" ref="M145" si="51">SUM(M137:M144)</f>
        <v>103440.58</v>
      </c>
      <c r="N145" s="1">
        <f t="shared" ref="N145" si="52">SUM(N137:N144)</f>
        <v>207163.4</v>
      </c>
      <c r="O145" s="1">
        <f t="shared" si="49"/>
        <v>139342.4675</v>
      </c>
    </row>
    <row r="146" spans="2:15" x14ac:dyDescent="0.25">
      <c r="F146" s="23" t="s">
        <v>121</v>
      </c>
      <c r="H146" s="6">
        <v>25000</v>
      </c>
      <c r="I146" s="1">
        <v>75</v>
      </c>
      <c r="J146" s="30">
        <v>25000</v>
      </c>
      <c r="K146" s="1">
        <v>1744.01</v>
      </c>
      <c r="L146" s="1">
        <v>0</v>
      </c>
      <c r="M146" s="1">
        <v>10233.26</v>
      </c>
      <c r="N146" s="1">
        <v>8122.57</v>
      </c>
      <c r="O146" s="1">
        <f t="shared" si="49"/>
        <v>5043.71</v>
      </c>
    </row>
    <row r="147" spans="2:15" x14ac:dyDescent="0.25">
      <c r="F147" s="23" t="s">
        <v>122</v>
      </c>
      <c r="H147" s="6">
        <v>579089.80000000005</v>
      </c>
      <c r="I147" s="1">
        <v>406983</v>
      </c>
      <c r="J147" s="30">
        <v>475000</v>
      </c>
      <c r="K147" s="1">
        <v>362735.33</v>
      </c>
      <c r="L147" s="1">
        <v>615350</v>
      </c>
      <c r="M147" s="1">
        <v>778178.26</v>
      </c>
      <c r="N147" s="1">
        <v>0</v>
      </c>
      <c r="O147" s="1">
        <f t="shared" si="49"/>
        <v>386974.14750000002</v>
      </c>
    </row>
    <row r="148" spans="2:15" x14ac:dyDescent="0.25">
      <c r="E148" t="s">
        <v>123</v>
      </c>
      <c r="H148" s="6">
        <f>ROUND(SUM(H121:H135)+SUM(H145:H147),5)</f>
        <v>860369.8</v>
      </c>
      <c r="I148" s="1">
        <f t="shared" ref="I148:L148" si="53">ROUND(SUM(I121:I135)+SUM(I145:I147),5)</f>
        <v>691292.06</v>
      </c>
      <c r="J148" s="30">
        <f t="shared" si="53"/>
        <v>827477.5</v>
      </c>
      <c r="K148" s="1">
        <f t="shared" si="53"/>
        <v>668665.19999999995</v>
      </c>
      <c r="L148" s="1">
        <f t="shared" si="53"/>
        <v>865437.5</v>
      </c>
      <c r="M148" s="1">
        <f t="shared" ref="M148" si="54">ROUND(SUM(M121:M135)+SUM(M145:M147),5)</f>
        <v>1070792.44</v>
      </c>
      <c r="N148" s="1">
        <f t="shared" ref="N148" si="55">ROUND(SUM(N121:N135)+SUM(N145:N147),5)</f>
        <v>394249.83</v>
      </c>
      <c r="O148" s="1">
        <f t="shared" si="49"/>
        <v>706249.88249999995</v>
      </c>
    </row>
    <row r="149" spans="2:15" x14ac:dyDescent="0.25">
      <c r="E149" t="s">
        <v>124</v>
      </c>
      <c r="H149" s="6">
        <v>180</v>
      </c>
      <c r="I149" s="1">
        <v>182.52</v>
      </c>
      <c r="J149" s="30">
        <v>240</v>
      </c>
      <c r="K149" s="1">
        <v>182.52</v>
      </c>
      <c r="L149" s="1">
        <v>175</v>
      </c>
      <c r="M149" s="1">
        <v>182.52</v>
      </c>
      <c r="N149" s="1">
        <v>183.08</v>
      </c>
      <c r="O149" s="1">
        <f t="shared" si="49"/>
        <v>182.66</v>
      </c>
    </row>
    <row r="150" spans="2:15" x14ac:dyDescent="0.25">
      <c r="D150" t="s">
        <v>125</v>
      </c>
      <c r="H150" s="44">
        <f>ROUND(H120+SUM(H148:H149),5)</f>
        <v>860549.8</v>
      </c>
      <c r="I150" s="1">
        <f t="shared" ref="I150:L150" si="56">ROUND(I120+SUM(I148:I149),5)</f>
        <v>691474.58</v>
      </c>
      <c r="J150" s="30">
        <f t="shared" si="56"/>
        <v>827717.5</v>
      </c>
      <c r="K150" s="1">
        <f t="shared" si="56"/>
        <v>668847.72</v>
      </c>
      <c r="L150" s="1">
        <f t="shared" si="56"/>
        <v>865612.5</v>
      </c>
      <c r="M150" s="1">
        <f t="shared" ref="M150" si="57">ROUND(M120+SUM(M148:M149),5)</f>
        <v>1070974.96</v>
      </c>
      <c r="N150" s="1">
        <f t="shared" ref="N150" si="58">ROUND(N120+SUM(N148:N149),5)</f>
        <v>394432.91</v>
      </c>
      <c r="O150" s="1">
        <f t="shared" si="49"/>
        <v>706432.54249999998</v>
      </c>
    </row>
    <row r="151" spans="2:15" x14ac:dyDescent="0.25">
      <c r="D151" t="s">
        <v>143</v>
      </c>
      <c r="H151" s="6">
        <v>0</v>
      </c>
    </row>
    <row r="152" spans="2:15" x14ac:dyDescent="0.25">
      <c r="E152" t="s">
        <v>144</v>
      </c>
      <c r="H152" s="6">
        <v>0</v>
      </c>
      <c r="M152" s="1">
        <v>0</v>
      </c>
      <c r="N152" s="1">
        <v>1900</v>
      </c>
      <c r="O152" s="1">
        <f t="shared" si="49"/>
        <v>475</v>
      </c>
    </row>
    <row r="153" spans="2:15" x14ac:dyDescent="0.25">
      <c r="D153" t="s">
        <v>145</v>
      </c>
      <c r="H153" s="6">
        <v>0</v>
      </c>
      <c r="M153" s="1">
        <f>ROUND(SUM(M151:M152),5)</f>
        <v>0</v>
      </c>
      <c r="N153" s="1">
        <f>ROUND(SUM(N151:N152),5)</f>
        <v>1900</v>
      </c>
      <c r="O153" s="1">
        <f t="shared" si="49"/>
        <v>475</v>
      </c>
    </row>
    <row r="154" spans="2:15" x14ac:dyDescent="0.25">
      <c r="D154" t="s">
        <v>126</v>
      </c>
      <c r="H154" s="6">
        <v>0</v>
      </c>
      <c r="I154" s="1">
        <v>0</v>
      </c>
      <c r="J154" s="30">
        <v>0</v>
      </c>
      <c r="K154" s="1">
        <v>49952.47</v>
      </c>
      <c r="L154" s="1">
        <v>50000</v>
      </c>
      <c r="M154" s="1">
        <v>47000</v>
      </c>
      <c r="N154" s="1">
        <v>50417.75</v>
      </c>
      <c r="O154" s="1">
        <f t="shared" si="49"/>
        <v>36842.555</v>
      </c>
    </row>
    <row r="155" spans="2:15" x14ac:dyDescent="0.25">
      <c r="E155" t="s">
        <v>127</v>
      </c>
      <c r="H155" s="6">
        <v>0</v>
      </c>
      <c r="I155" s="1">
        <v>0</v>
      </c>
      <c r="J155" s="30">
        <v>0</v>
      </c>
      <c r="K155" s="1">
        <v>1133.9100000000001</v>
      </c>
      <c r="L155" s="1">
        <v>1135</v>
      </c>
      <c r="M155" s="1">
        <v>3210.92</v>
      </c>
      <c r="N155" s="1">
        <v>0</v>
      </c>
      <c r="O155" s="1">
        <f t="shared" si="49"/>
        <v>1086.2075</v>
      </c>
    </row>
    <row r="156" spans="2:15" x14ac:dyDescent="0.25">
      <c r="D156" t="s">
        <v>128</v>
      </c>
      <c r="H156" s="6">
        <v>0</v>
      </c>
      <c r="I156" s="1">
        <f>ROUND(SUM(I154:I155),5)</f>
        <v>0</v>
      </c>
      <c r="J156" s="30">
        <v>0</v>
      </c>
      <c r="K156" s="1">
        <f>ROUND(SUM(K154:K155),5)</f>
        <v>51086.38</v>
      </c>
      <c r="L156" s="1">
        <f>ROUND(SUM(L154:L155),5)</f>
        <v>51135</v>
      </c>
      <c r="M156" s="1">
        <f>ROUND(SUM(M154:M155),5)</f>
        <v>50210.92</v>
      </c>
      <c r="N156" s="1">
        <f>ROUND(SUM(N154:N155),5)</f>
        <v>50417.75</v>
      </c>
      <c r="O156" s="1">
        <f t="shared" si="49"/>
        <v>37928.762499999997</v>
      </c>
    </row>
    <row r="157" spans="2:15" x14ac:dyDescent="0.25">
      <c r="D157" t="s">
        <v>129</v>
      </c>
      <c r="H157" s="6">
        <v>0</v>
      </c>
      <c r="I157" s="1">
        <v>0</v>
      </c>
      <c r="J157" s="30">
        <v>0</v>
      </c>
      <c r="K157" s="1">
        <v>0</v>
      </c>
      <c r="L157" s="1">
        <v>0</v>
      </c>
      <c r="M157" s="1">
        <v>0</v>
      </c>
      <c r="N157" s="1">
        <v>0</v>
      </c>
      <c r="O157" s="1">
        <f t="shared" si="49"/>
        <v>0</v>
      </c>
    </row>
    <row r="158" spans="2:15" x14ac:dyDescent="0.25">
      <c r="D158" t="s">
        <v>146</v>
      </c>
      <c r="H158" s="6">
        <v>0</v>
      </c>
      <c r="I158" s="1"/>
      <c r="J158" s="30">
        <v>0</v>
      </c>
      <c r="K158" s="1"/>
      <c r="L158" s="1">
        <v>0</v>
      </c>
      <c r="M158" s="1">
        <v>0</v>
      </c>
      <c r="N158" s="1">
        <v>0</v>
      </c>
      <c r="O158" s="1">
        <f t="shared" si="49"/>
        <v>0</v>
      </c>
    </row>
    <row r="159" spans="2:15" x14ac:dyDescent="0.25">
      <c r="C159" s="2" t="s">
        <v>130</v>
      </c>
      <c r="H159" s="7">
        <f>ROUND(H111+H119+H150+H154+SUM(H156:H157)+H158,5)</f>
        <v>1088174.05</v>
      </c>
      <c r="I159" s="1">
        <f>ROUND(I111+I119+I150+I154+SUM(I156:I157)+I158,5)</f>
        <v>934149.09</v>
      </c>
      <c r="J159" s="1">
        <f>ROUND(J111+J119+J150+J154+SUM(J156:J157)+J158,5)</f>
        <v>1064210</v>
      </c>
      <c r="K159" s="1">
        <f>ROUND(K111+K119+K150+K154+SUM(K156:K157)+K158,5)</f>
        <v>993161.07</v>
      </c>
      <c r="L159" s="1">
        <f>ROUND(L111+L119+L150+L154+SUM(L156:L157)+L158,5)</f>
        <v>1188798</v>
      </c>
      <c r="M159" s="1">
        <f t="shared" ref="M159:N159" si="59">ROUND(M111+M119+M150+M154+SUM(M156:M157)+M158,5)</f>
        <v>1435408.07</v>
      </c>
      <c r="N159" s="1">
        <f t="shared" si="59"/>
        <v>708525.26</v>
      </c>
      <c r="O159" s="1">
        <f t="shared" si="49"/>
        <v>1017810.8724999999</v>
      </c>
    </row>
    <row r="160" spans="2:15" x14ac:dyDescent="0.25">
      <c r="B160" s="2" t="s">
        <v>168</v>
      </c>
      <c r="H160" s="6">
        <f>ROUND(H7+H38-H159,5)</f>
        <v>-614874.05000000005</v>
      </c>
      <c r="I160" s="1">
        <f>ROUND(I7+I38-I159,5)</f>
        <v>-389403.51</v>
      </c>
      <c r="J160" s="30">
        <f>ROUND(J7+J38-J159,5)</f>
        <v>-521906</v>
      </c>
      <c r="K160" s="1">
        <f>ROUND(K7+K38-K159,5)</f>
        <v>-477780.29</v>
      </c>
      <c r="L160" s="1">
        <f>ROUND(L7+L38-L159,5)</f>
        <v>-638092</v>
      </c>
      <c r="M160" s="1">
        <f t="shared" ref="M160:N160" si="60">ROUND(M7+M38-M159,5)</f>
        <v>-547056.56000000006</v>
      </c>
      <c r="N160" s="1">
        <f t="shared" si="60"/>
        <v>140513.89000000001</v>
      </c>
      <c r="O160" s="1">
        <f t="shared" si="49"/>
        <v>-318431.61749999999</v>
      </c>
    </row>
    <row r="161" spans="6:12" x14ac:dyDescent="0.25">
      <c r="H161" s="6"/>
      <c r="I161" s="1"/>
      <c r="J161" s="30"/>
      <c r="K161" s="1">
        <v>0</v>
      </c>
      <c r="L161" s="1"/>
    </row>
    <row r="162" spans="6:12" x14ac:dyDescent="0.25">
      <c r="F162" s="2" t="s">
        <v>164</v>
      </c>
      <c r="H162" s="6"/>
      <c r="I162" s="1"/>
      <c r="J162" s="30"/>
      <c r="K162" s="1"/>
      <c r="L162" s="1"/>
    </row>
    <row r="163" spans="6:12" x14ac:dyDescent="0.25">
      <c r="F163" s="2"/>
      <c r="G163" t="s">
        <v>253</v>
      </c>
      <c r="H163" s="6"/>
      <c r="I163" s="47">
        <f>+(H159-I159)/I159</f>
        <v>0.16488263131530759</v>
      </c>
      <c r="J163" s="47">
        <f>+(H159-J159)/J159</f>
        <v>2.2518159009969882E-2</v>
      </c>
      <c r="K163" s="1"/>
      <c r="L163" s="1"/>
    </row>
    <row r="164" spans="6:12" x14ac:dyDescent="0.25">
      <c r="F164" s="2"/>
      <c r="H164" s="6"/>
      <c r="I164" s="1"/>
      <c r="J164" s="30"/>
      <c r="K164" s="1"/>
      <c r="L164" s="1"/>
    </row>
    <row r="165" spans="6:12" x14ac:dyDescent="0.25">
      <c r="G165" t="s">
        <v>165</v>
      </c>
      <c r="H165" s="6">
        <f>H11</f>
        <v>405000</v>
      </c>
      <c r="I165" s="1"/>
      <c r="J165" s="30"/>
      <c r="K165" s="1"/>
      <c r="L165" s="1"/>
    </row>
    <row r="166" spans="6:12" x14ac:dyDescent="0.25">
      <c r="G166" t="s">
        <v>166</v>
      </c>
      <c r="H166" s="6">
        <f>H38-H11</f>
        <v>68300</v>
      </c>
      <c r="I166" s="1"/>
      <c r="J166" s="30"/>
      <c r="K166" s="1"/>
      <c r="L166" s="1"/>
    </row>
    <row r="167" spans="6:12" x14ac:dyDescent="0.25">
      <c r="H167" s="6"/>
      <c r="I167" s="1"/>
      <c r="J167" s="30"/>
      <c r="K167" s="1"/>
      <c r="L167" s="1"/>
    </row>
    <row r="168" spans="6:12" x14ac:dyDescent="0.25">
      <c r="G168" t="s">
        <v>245</v>
      </c>
      <c r="H168" s="6">
        <f>H129+H131+H135+H146+H147</f>
        <v>688589.8</v>
      </c>
      <c r="I168" s="1"/>
      <c r="J168" s="30"/>
      <c r="K168" s="1"/>
      <c r="L168" s="1"/>
    </row>
    <row r="169" spans="6:12" x14ac:dyDescent="0.25">
      <c r="G169" t="s">
        <v>194</v>
      </c>
      <c r="H169" s="6">
        <f>H150-H168</f>
        <v>171960</v>
      </c>
      <c r="I169" s="1"/>
      <c r="J169" s="30"/>
      <c r="K169" s="1"/>
      <c r="L169" s="1"/>
    </row>
    <row r="170" spans="6:12" x14ac:dyDescent="0.25">
      <c r="G170" t="s">
        <v>193</v>
      </c>
      <c r="H170" s="6">
        <f>H159-H168-H169</f>
        <v>227624.25</v>
      </c>
      <c r="I170" s="1"/>
      <c r="J170" s="30"/>
      <c r="K170" s="1"/>
      <c r="L170" s="1"/>
    </row>
    <row r="171" spans="6:12" x14ac:dyDescent="0.25">
      <c r="I171" s="1"/>
      <c r="J171" s="29"/>
      <c r="K171" s="1"/>
    </row>
    <row r="172" spans="6:12" x14ac:dyDescent="0.25">
      <c r="G172" t="s">
        <v>227</v>
      </c>
      <c r="I172" s="1"/>
      <c r="J172" s="29"/>
      <c r="K172" s="1"/>
    </row>
  </sheetData>
  <mergeCells count="1">
    <mergeCell ref="A1:O1"/>
  </mergeCells>
  <pageMargins left="0.25" right="0.25" top="0.25" bottom="0.25" header="0.3" footer="0.3"/>
  <pageSetup scale="57" fitToHeight="0" orientation="landscape" r:id="rId1"/>
  <ignoredErrors>
    <ignoredError sqref="H3:L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9F0B-1B46-41A6-8F9F-BE124F9563C0}">
  <sheetPr>
    <pageSetUpPr fitToPage="1"/>
  </sheetPr>
  <dimension ref="A1:J68"/>
  <sheetViews>
    <sheetView zoomScale="110" zoomScaleNormal="11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5.42578125" bestFit="1" customWidth="1"/>
    <col min="2" max="2" width="30.28515625" bestFit="1" customWidth="1"/>
    <col min="3" max="3" width="12.28515625" bestFit="1" customWidth="1"/>
    <col min="4" max="7" width="11.7109375" bestFit="1" customWidth="1"/>
    <col min="8" max="8" width="11.7109375" customWidth="1"/>
    <col min="9" max="9" width="14.28515625" style="1" bestFit="1" customWidth="1"/>
    <col min="10" max="10" width="59.5703125" customWidth="1"/>
  </cols>
  <sheetData>
    <row r="1" spans="1:10" ht="26.25" x14ac:dyDescent="0.4">
      <c r="B1" s="27" t="s">
        <v>192</v>
      </c>
      <c r="C1" s="27"/>
      <c r="D1" s="27"/>
      <c r="E1" s="27"/>
      <c r="F1" s="27"/>
      <c r="G1" s="27"/>
      <c r="H1" s="27"/>
      <c r="I1" s="24"/>
      <c r="J1" s="27"/>
    </row>
    <row r="2" spans="1:10" x14ac:dyDescent="0.25">
      <c r="B2" s="28">
        <v>2021</v>
      </c>
      <c r="C2" s="31">
        <f>C11</f>
        <v>579089.80000000005</v>
      </c>
      <c r="D2" s="31">
        <f t="shared" ref="D2:H2" si="0">D11</f>
        <v>49500</v>
      </c>
      <c r="E2" s="31">
        <f t="shared" si="0"/>
        <v>25000</v>
      </c>
      <c r="F2" s="31">
        <f t="shared" si="0"/>
        <v>25000</v>
      </c>
      <c r="G2" s="31">
        <f t="shared" si="0"/>
        <v>0</v>
      </c>
      <c r="H2" s="31">
        <f t="shared" si="0"/>
        <v>10000</v>
      </c>
      <c r="I2" s="38">
        <f>SUM(C2:H2)</f>
        <v>688589.8</v>
      </c>
    </row>
    <row r="3" spans="1:10" x14ac:dyDescent="0.25">
      <c r="B3" s="28">
        <f>+B2+1</f>
        <v>2022</v>
      </c>
      <c r="C3" s="31">
        <f>C27</f>
        <v>396000</v>
      </c>
      <c r="D3" s="31">
        <f t="shared" ref="D3:H3" si="1">D27</f>
        <v>30000</v>
      </c>
      <c r="E3" s="31">
        <f t="shared" si="1"/>
        <v>25000</v>
      </c>
      <c r="F3" s="31">
        <f t="shared" si="1"/>
        <v>50000</v>
      </c>
      <c r="G3" s="31">
        <f t="shared" si="1"/>
        <v>0</v>
      </c>
      <c r="H3" s="31">
        <f t="shared" si="1"/>
        <v>10000</v>
      </c>
      <c r="I3" s="38">
        <f t="shared" ref="I3:I6" si="2">SUM(C3:H3)</f>
        <v>511000</v>
      </c>
    </row>
    <row r="4" spans="1:10" x14ac:dyDescent="0.25">
      <c r="B4" s="28">
        <f>+B3+1</f>
        <v>2023</v>
      </c>
      <c r="C4" s="31">
        <f>+C42</f>
        <v>10000</v>
      </c>
      <c r="D4" s="31">
        <f t="shared" ref="D4:H4" si="3">+D42</f>
        <v>20000</v>
      </c>
      <c r="E4" s="31">
        <f t="shared" si="3"/>
        <v>75000</v>
      </c>
      <c r="F4" s="31">
        <f t="shared" si="3"/>
        <v>25000</v>
      </c>
      <c r="G4" s="31">
        <f t="shared" si="3"/>
        <v>0</v>
      </c>
      <c r="H4" s="31">
        <f t="shared" si="3"/>
        <v>10000</v>
      </c>
      <c r="I4" s="38">
        <f t="shared" si="2"/>
        <v>140000</v>
      </c>
    </row>
    <row r="5" spans="1:10" x14ac:dyDescent="0.25">
      <c r="B5" s="28">
        <f>+B4+1</f>
        <v>2024</v>
      </c>
      <c r="C5" s="31">
        <f>+C52</f>
        <v>10000</v>
      </c>
      <c r="D5" s="31">
        <f t="shared" ref="D5:H5" si="4">+D52</f>
        <v>10000</v>
      </c>
      <c r="E5" s="31">
        <f t="shared" si="4"/>
        <v>25000</v>
      </c>
      <c r="F5" s="31">
        <f t="shared" si="4"/>
        <v>25000</v>
      </c>
      <c r="G5" s="31">
        <f t="shared" si="4"/>
        <v>0</v>
      </c>
      <c r="H5" s="31">
        <f t="shared" si="4"/>
        <v>10000</v>
      </c>
      <c r="I5" s="38">
        <f t="shared" si="2"/>
        <v>80000</v>
      </c>
    </row>
    <row r="6" spans="1:10" x14ac:dyDescent="0.25">
      <c r="B6" s="28">
        <f>+B5+1</f>
        <v>2025</v>
      </c>
      <c r="C6" s="31">
        <f>+C60</f>
        <v>0</v>
      </c>
      <c r="D6" s="31">
        <f t="shared" ref="D6:H6" si="5">+D60</f>
        <v>0</v>
      </c>
      <c r="E6" s="31">
        <f t="shared" si="5"/>
        <v>25000</v>
      </c>
      <c r="F6" s="31">
        <f t="shared" si="5"/>
        <v>25000</v>
      </c>
      <c r="G6" s="31">
        <f t="shared" si="5"/>
        <v>0</v>
      </c>
      <c r="H6" s="31">
        <f t="shared" si="5"/>
        <v>10000</v>
      </c>
      <c r="I6" s="38">
        <f t="shared" si="2"/>
        <v>60000</v>
      </c>
    </row>
    <row r="7" spans="1:10" x14ac:dyDescent="0.25">
      <c r="B7" s="28"/>
      <c r="C7" s="31"/>
      <c r="D7" s="31"/>
      <c r="E7" s="31"/>
      <c r="F7" s="31"/>
      <c r="G7" s="31"/>
      <c r="H7" s="31"/>
    </row>
    <row r="8" spans="1:10" x14ac:dyDescent="0.25">
      <c r="B8" s="28"/>
      <c r="C8" s="36" t="s">
        <v>202</v>
      </c>
      <c r="D8" s="36" t="s">
        <v>203</v>
      </c>
      <c r="E8" s="36" t="s">
        <v>205</v>
      </c>
      <c r="F8" s="36" t="s">
        <v>207</v>
      </c>
      <c r="G8" s="36" t="s">
        <v>209</v>
      </c>
      <c r="H8" s="37" t="s">
        <v>211</v>
      </c>
    </row>
    <row r="9" spans="1:10" ht="69.75" customHeight="1" x14ac:dyDescent="0.25">
      <c r="B9" s="32" t="s">
        <v>199</v>
      </c>
      <c r="C9" s="33" t="s">
        <v>201</v>
      </c>
      <c r="D9" s="33" t="s">
        <v>225</v>
      </c>
      <c r="E9" s="33" t="s">
        <v>204</v>
      </c>
      <c r="F9" s="33" t="s">
        <v>206</v>
      </c>
      <c r="G9" s="33" t="s">
        <v>208</v>
      </c>
      <c r="H9" s="33" t="s">
        <v>210</v>
      </c>
      <c r="I9" s="3" t="s">
        <v>222</v>
      </c>
      <c r="J9" s="2" t="s">
        <v>200</v>
      </c>
    </row>
    <row r="10" spans="1:10" x14ac:dyDescent="0.25">
      <c r="B10" s="32"/>
      <c r="C10" s="33"/>
      <c r="D10" s="33"/>
      <c r="E10" s="33"/>
      <c r="F10" s="33"/>
      <c r="G10" s="33"/>
      <c r="H10" s="33"/>
      <c r="J10" s="2"/>
    </row>
    <row r="11" spans="1:10" x14ac:dyDescent="0.25">
      <c r="A11" s="34" t="s">
        <v>197</v>
      </c>
      <c r="B11" s="32"/>
      <c r="C11" s="35">
        <f t="shared" ref="C11:H11" si="6">SUM(C12:C26)</f>
        <v>579089.80000000005</v>
      </c>
      <c r="D11" s="35">
        <f t="shared" si="6"/>
        <v>49500</v>
      </c>
      <c r="E11" s="35">
        <f t="shared" si="6"/>
        <v>25000</v>
      </c>
      <c r="F11" s="35">
        <f t="shared" si="6"/>
        <v>25000</v>
      </c>
      <c r="G11" s="35">
        <f t="shared" si="6"/>
        <v>0</v>
      </c>
      <c r="H11" s="35">
        <f t="shared" si="6"/>
        <v>10000</v>
      </c>
      <c r="I11" s="35">
        <f>SUM(C11:H11)</f>
        <v>688589.8</v>
      </c>
      <c r="J11" s="2"/>
    </row>
    <row r="12" spans="1:10" x14ac:dyDescent="0.25">
      <c r="B12" s="29" t="s">
        <v>154</v>
      </c>
      <c r="C12" s="31">
        <v>19089.8</v>
      </c>
      <c r="D12" s="31"/>
      <c r="E12" s="31"/>
      <c r="F12" s="31"/>
      <c r="G12" s="31"/>
      <c r="H12" s="31"/>
      <c r="I12" s="31"/>
      <c r="J12" t="s">
        <v>213</v>
      </c>
    </row>
    <row r="13" spans="1:10" x14ac:dyDescent="0.25">
      <c r="B13" s="29" t="s">
        <v>152</v>
      </c>
      <c r="C13" s="31">
        <v>65000</v>
      </c>
      <c r="D13" s="31"/>
      <c r="E13" s="31"/>
      <c r="F13" s="31"/>
      <c r="G13" s="31"/>
      <c r="H13" s="31"/>
      <c r="I13" s="31"/>
      <c r="J13" t="s">
        <v>187</v>
      </c>
    </row>
    <row r="14" spans="1:10" x14ac:dyDescent="0.25">
      <c r="B14" s="29" t="s">
        <v>157</v>
      </c>
      <c r="C14" s="31">
        <v>0</v>
      </c>
      <c r="D14" s="31">
        <v>10000</v>
      </c>
      <c r="E14" s="31"/>
      <c r="F14" s="31"/>
      <c r="G14" s="31"/>
      <c r="H14" s="31"/>
      <c r="I14" s="31"/>
      <c r="J14" t="s">
        <v>230</v>
      </c>
    </row>
    <row r="15" spans="1:10" x14ac:dyDescent="0.25">
      <c r="B15" s="29" t="s">
        <v>156</v>
      </c>
      <c r="C15" s="31"/>
      <c r="D15" s="31"/>
      <c r="E15" s="31">
        <v>25000</v>
      </c>
      <c r="F15" s="31"/>
      <c r="G15" s="31"/>
      <c r="H15" s="31"/>
      <c r="I15" s="31"/>
      <c r="J15" t="s">
        <v>232</v>
      </c>
    </row>
    <row r="16" spans="1:10" x14ac:dyDescent="0.25">
      <c r="B16" s="29" t="s">
        <v>216</v>
      </c>
      <c r="C16" s="31">
        <v>350000</v>
      </c>
      <c r="D16" s="31"/>
      <c r="E16" s="31"/>
      <c r="F16" s="31"/>
      <c r="G16" s="31"/>
      <c r="H16" s="31"/>
      <c r="I16" s="31"/>
      <c r="J16" t="s">
        <v>233</v>
      </c>
    </row>
    <row r="17" spans="1:10" x14ac:dyDescent="0.25">
      <c r="B17" s="29" t="s">
        <v>178</v>
      </c>
      <c r="C17" s="31">
        <v>10000</v>
      </c>
      <c r="D17" s="31">
        <v>10000</v>
      </c>
      <c r="E17" s="31"/>
      <c r="F17" s="31"/>
      <c r="G17" s="31"/>
      <c r="H17" s="31"/>
      <c r="I17" s="31"/>
    </row>
    <row r="18" spans="1:10" x14ac:dyDescent="0.25">
      <c r="B18" s="29" t="s">
        <v>246</v>
      </c>
      <c r="C18" s="31">
        <v>0</v>
      </c>
      <c r="D18" s="31">
        <v>12500</v>
      </c>
      <c r="E18" s="31"/>
      <c r="F18" s="31"/>
      <c r="G18" s="31"/>
      <c r="H18" s="31"/>
      <c r="I18" s="31"/>
      <c r="J18" t="s">
        <v>249</v>
      </c>
    </row>
    <row r="19" spans="1:10" x14ac:dyDescent="0.25">
      <c r="B19" s="29" t="s">
        <v>247</v>
      </c>
      <c r="C19" s="31"/>
      <c r="D19" s="31"/>
      <c r="E19" s="31"/>
      <c r="F19" s="31"/>
      <c r="G19" s="31"/>
      <c r="H19" s="31"/>
      <c r="I19" s="31"/>
      <c r="J19" t="s">
        <v>248</v>
      </c>
    </row>
    <row r="20" spans="1:10" x14ac:dyDescent="0.25">
      <c r="B20" s="29" t="s">
        <v>215</v>
      </c>
      <c r="C20" s="31">
        <v>100000</v>
      </c>
      <c r="D20" s="31"/>
      <c r="E20" s="31"/>
      <c r="F20" s="31"/>
      <c r="G20" s="31"/>
      <c r="H20" s="31"/>
      <c r="I20" s="31"/>
      <c r="J20" t="s">
        <v>214</v>
      </c>
    </row>
    <row r="21" spans="1:10" x14ac:dyDescent="0.25">
      <c r="B21" s="29" t="s">
        <v>220</v>
      </c>
      <c r="C21" s="31">
        <v>10000</v>
      </c>
      <c r="D21" s="31">
        <v>10000</v>
      </c>
      <c r="E21" s="31"/>
      <c r="F21" s="31"/>
      <c r="G21" s="31"/>
      <c r="H21" s="31"/>
      <c r="I21" s="31"/>
      <c r="J21" t="s">
        <v>160</v>
      </c>
    </row>
    <row r="22" spans="1:10" x14ac:dyDescent="0.25">
      <c r="B22" s="29" t="s">
        <v>228</v>
      </c>
      <c r="C22" s="31"/>
      <c r="D22" s="31">
        <v>7000</v>
      </c>
      <c r="E22" s="31"/>
      <c r="F22" s="31"/>
      <c r="G22" s="31"/>
      <c r="H22" s="31"/>
      <c r="I22" s="31"/>
    </row>
    <row r="23" spans="1:10" x14ac:dyDescent="0.25">
      <c r="B23" s="29" t="s">
        <v>231</v>
      </c>
      <c r="C23" s="31">
        <v>25000</v>
      </c>
      <c r="D23" s="31"/>
      <c r="E23" s="31"/>
      <c r="F23" s="31"/>
      <c r="G23" s="31"/>
      <c r="H23" s="31"/>
      <c r="I23" s="31"/>
      <c r="J23" t="s">
        <v>229</v>
      </c>
    </row>
    <row r="24" spans="1:10" x14ac:dyDescent="0.25">
      <c r="B24" s="29" t="s">
        <v>221</v>
      </c>
      <c r="C24" s="31"/>
      <c r="D24" s="31"/>
      <c r="E24" s="31"/>
      <c r="F24" s="31">
        <v>25000</v>
      </c>
      <c r="G24" s="31"/>
      <c r="H24" s="31"/>
      <c r="I24" s="31"/>
    </row>
    <row r="25" spans="1:10" x14ac:dyDescent="0.25">
      <c r="B25" s="29" t="s">
        <v>191</v>
      </c>
      <c r="C25" s="31"/>
      <c r="D25" s="31"/>
      <c r="E25" s="31"/>
      <c r="F25" s="31"/>
      <c r="G25" s="31"/>
      <c r="H25" s="31">
        <v>10000</v>
      </c>
      <c r="I25" s="31"/>
    </row>
    <row r="26" spans="1:10" x14ac:dyDescent="0.25">
      <c r="B26" s="28"/>
      <c r="C26" s="31"/>
      <c r="D26" s="31"/>
      <c r="E26" s="31"/>
      <c r="F26" s="31"/>
      <c r="G26" s="31"/>
      <c r="H26" s="29"/>
    </row>
    <row r="27" spans="1:10" x14ac:dyDescent="0.25">
      <c r="A27" s="34" t="s">
        <v>212</v>
      </c>
      <c r="B27" s="28"/>
      <c r="C27" s="35">
        <f t="shared" ref="C27:H27" si="7">SUM(C28:C41)</f>
        <v>396000</v>
      </c>
      <c r="D27" s="35">
        <f t="shared" si="7"/>
        <v>30000</v>
      </c>
      <c r="E27" s="35">
        <f t="shared" si="7"/>
        <v>25000</v>
      </c>
      <c r="F27" s="35">
        <f t="shared" si="7"/>
        <v>50000</v>
      </c>
      <c r="G27" s="35">
        <f t="shared" si="7"/>
        <v>0</v>
      </c>
      <c r="H27" s="35">
        <f t="shared" si="7"/>
        <v>10000</v>
      </c>
      <c r="I27" s="3">
        <f>SUM(C27:H27)</f>
        <v>511000</v>
      </c>
    </row>
    <row r="28" spans="1:10" x14ac:dyDescent="0.25">
      <c r="A28" s="34"/>
      <c r="B28" s="29" t="s">
        <v>152</v>
      </c>
      <c r="C28" s="31">
        <v>75000</v>
      </c>
      <c r="D28" s="31"/>
      <c r="E28" s="31"/>
      <c r="F28" s="31"/>
      <c r="G28" s="31"/>
      <c r="H28" s="29"/>
      <c r="J28" t="s">
        <v>234</v>
      </c>
    </row>
    <row r="29" spans="1:10" x14ac:dyDescent="0.25">
      <c r="B29" s="29" t="s">
        <v>157</v>
      </c>
      <c r="C29" s="30">
        <v>0</v>
      </c>
      <c r="D29" s="30">
        <v>10000</v>
      </c>
      <c r="E29" s="30"/>
      <c r="F29" s="30"/>
      <c r="G29" s="30"/>
      <c r="H29" s="30"/>
      <c r="J29" t="s">
        <v>158</v>
      </c>
    </row>
    <row r="30" spans="1:10" x14ac:dyDescent="0.25">
      <c r="B30" s="29" t="s">
        <v>188</v>
      </c>
      <c r="C30" s="30"/>
      <c r="D30" s="30">
        <v>10000</v>
      </c>
      <c r="E30" s="30"/>
      <c r="F30" s="30"/>
      <c r="G30" s="30"/>
      <c r="H30" s="30"/>
      <c r="J30" t="s">
        <v>160</v>
      </c>
    </row>
    <row r="31" spans="1:10" x14ac:dyDescent="0.25">
      <c r="B31" s="29" t="s">
        <v>156</v>
      </c>
      <c r="C31" s="30"/>
      <c r="D31" s="30"/>
      <c r="E31" s="30">
        <v>25000</v>
      </c>
      <c r="F31" s="30"/>
      <c r="G31" s="30"/>
      <c r="H31" s="30"/>
    </row>
    <row r="32" spans="1:10" x14ac:dyDescent="0.25">
      <c r="B32" s="29" t="s">
        <v>246</v>
      </c>
      <c r="C32" s="30">
        <v>200000</v>
      </c>
      <c r="D32" s="30">
        <v>0</v>
      </c>
      <c r="E32" s="30"/>
      <c r="F32" s="30"/>
      <c r="G32" s="30"/>
      <c r="H32" s="30"/>
      <c r="J32" t="s">
        <v>250</v>
      </c>
    </row>
    <row r="33" spans="1:10" x14ac:dyDescent="0.25">
      <c r="B33" s="29" t="s">
        <v>247</v>
      </c>
      <c r="C33" s="30">
        <v>100000</v>
      </c>
      <c r="D33" s="30"/>
      <c r="E33" s="30"/>
      <c r="F33" s="30"/>
      <c r="G33" s="30"/>
      <c r="H33" s="30"/>
      <c r="J33" t="s">
        <v>214</v>
      </c>
    </row>
    <row r="34" spans="1:10" x14ac:dyDescent="0.25">
      <c r="B34" s="29" t="s">
        <v>219</v>
      </c>
      <c r="C34" s="30">
        <v>10000</v>
      </c>
      <c r="D34" s="30">
        <v>10000</v>
      </c>
      <c r="E34" s="30"/>
      <c r="F34" s="30"/>
      <c r="G34" s="30"/>
      <c r="H34" s="30"/>
      <c r="J34" t="s">
        <v>160</v>
      </c>
    </row>
    <row r="35" spans="1:10" x14ac:dyDescent="0.25">
      <c r="B35" s="29" t="s">
        <v>216</v>
      </c>
      <c r="C35" s="30">
        <v>6000</v>
      </c>
      <c r="D35" s="30"/>
      <c r="E35" s="30"/>
      <c r="F35" s="30"/>
      <c r="G35" s="30"/>
      <c r="H35" s="30"/>
      <c r="J35" t="s">
        <v>153</v>
      </c>
    </row>
    <row r="36" spans="1:10" x14ac:dyDescent="0.25">
      <c r="B36" s="29" t="s">
        <v>217</v>
      </c>
      <c r="C36" s="30">
        <v>5000</v>
      </c>
      <c r="D36" s="30"/>
      <c r="E36" s="30"/>
      <c r="F36" s="30"/>
      <c r="G36" s="30"/>
      <c r="H36" s="30"/>
      <c r="J36" t="s">
        <v>153</v>
      </c>
    </row>
    <row r="37" spans="1:10" x14ac:dyDescent="0.25">
      <c r="B37" s="29" t="s">
        <v>221</v>
      </c>
      <c r="C37" s="29"/>
      <c r="D37" s="30"/>
      <c r="E37" s="30"/>
      <c r="F37" s="30">
        <v>25000</v>
      </c>
      <c r="G37" s="30"/>
      <c r="H37" s="30"/>
    </row>
    <row r="38" spans="1:10" x14ac:dyDescent="0.25">
      <c r="B38" s="29" t="s">
        <v>189</v>
      </c>
      <c r="C38" s="30"/>
      <c r="D38" s="30"/>
      <c r="E38" s="30"/>
      <c r="F38" s="30">
        <v>25000</v>
      </c>
      <c r="G38" s="30"/>
      <c r="H38" s="30"/>
    </row>
    <row r="39" spans="1:10" x14ac:dyDescent="0.25">
      <c r="B39" s="29" t="s">
        <v>191</v>
      </c>
      <c r="C39" s="29"/>
      <c r="D39" s="30"/>
      <c r="E39" s="30"/>
      <c r="F39" s="30"/>
      <c r="G39" s="30"/>
      <c r="H39" s="30">
        <v>10000</v>
      </c>
    </row>
    <row r="40" spans="1:10" x14ac:dyDescent="0.25">
      <c r="A40" s="34"/>
      <c r="B40" s="28"/>
      <c r="C40" s="31"/>
      <c r="D40" s="31"/>
      <c r="E40" s="31"/>
      <c r="F40" s="31"/>
      <c r="G40" s="31"/>
      <c r="H40" s="29"/>
    </row>
    <row r="41" spans="1:10" x14ac:dyDescent="0.25">
      <c r="B41" s="28"/>
      <c r="C41" s="31"/>
      <c r="D41" s="31"/>
      <c r="E41" s="31"/>
      <c r="F41" s="31"/>
      <c r="G41" s="31"/>
      <c r="H41" s="29"/>
    </row>
    <row r="42" spans="1:10" x14ac:dyDescent="0.25">
      <c r="A42" s="34" t="s">
        <v>179</v>
      </c>
      <c r="B42" s="28"/>
      <c r="C42" s="35">
        <f t="shared" ref="C42:H42" si="8">SUM(C43:C51)</f>
        <v>10000</v>
      </c>
      <c r="D42" s="35">
        <f t="shared" si="8"/>
        <v>20000</v>
      </c>
      <c r="E42" s="35">
        <f t="shared" si="8"/>
        <v>75000</v>
      </c>
      <c r="F42" s="35">
        <f t="shared" si="8"/>
        <v>25000</v>
      </c>
      <c r="G42" s="35">
        <f t="shared" si="8"/>
        <v>0</v>
      </c>
      <c r="H42" s="35">
        <f t="shared" si="8"/>
        <v>10000</v>
      </c>
      <c r="I42" s="3">
        <f>SUM(C42:H42)</f>
        <v>140000</v>
      </c>
    </row>
    <row r="43" spans="1:10" x14ac:dyDescent="0.25">
      <c r="A43" s="34"/>
      <c r="B43" s="29" t="s">
        <v>152</v>
      </c>
      <c r="C43" s="31">
        <v>0</v>
      </c>
      <c r="D43" s="31"/>
      <c r="E43" s="31"/>
      <c r="F43" s="31"/>
      <c r="G43" s="31"/>
      <c r="H43" s="29"/>
    </row>
    <row r="44" spans="1:10" x14ac:dyDescent="0.25">
      <c r="B44" s="29" t="s">
        <v>157</v>
      </c>
      <c r="C44" s="30">
        <v>0</v>
      </c>
      <c r="D44" s="30">
        <v>10000</v>
      </c>
      <c r="E44" s="30"/>
      <c r="F44" s="30"/>
      <c r="G44" s="30"/>
      <c r="H44" s="30"/>
      <c r="J44" t="s">
        <v>158</v>
      </c>
    </row>
    <row r="45" spans="1:10" x14ac:dyDescent="0.25">
      <c r="A45" s="34"/>
      <c r="B45" s="29" t="s">
        <v>181</v>
      </c>
      <c r="C45" s="31"/>
      <c r="D45" s="31"/>
      <c r="E45" s="31">
        <v>50000</v>
      </c>
      <c r="F45" s="31"/>
      <c r="G45" s="31"/>
      <c r="H45" s="29"/>
    </row>
    <row r="46" spans="1:10" x14ac:dyDescent="0.25">
      <c r="B46" s="29" t="s">
        <v>156</v>
      </c>
      <c r="C46" s="30"/>
      <c r="D46" s="30"/>
      <c r="E46" s="30">
        <v>25000</v>
      </c>
      <c r="F46" s="30"/>
      <c r="G46" s="30"/>
      <c r="H46" s="30"/>
    </row>
    <row r="47" spans="1:10" x14ac:dyDescent="0.25">
      <c r="A47" s="34"/>
      <c r="B47" s="29" t="s">
        <v>218</v>
      </c>
      <c r="C47" s="31">
        <v>10000</v>
      </c>
      <c r="D47" s="31">
        <v>10000</v>
      </c>
      <c r="E47" s="31"/>
      <c r="F47" s="31"/>
      <c r="G47" s="31"/>
      <c r="H47" s="29"/>
    </row>
    <row r="48" spans="1:10" x14ac:dyDescent="0.25">
      <c r="B48" s="29" t="s">
        <v>221</v>
      </c>
      <c r="C48" s="29"/>
      <c r="D48" s="30"/>
      <c r="E48" s="30"/>
      <c r="F48" s="30">
        <v>25000</v>
      </c>
      <c r="G48" s="30"/>
      <c r="H48" s="30"/>
    </row>
    <row r="49" spans="1:10" x14ac:dyDescent="0.25">
      <c r="B49" s="29" t="s">
        <v>191</v>
      </c>
      <c r="C49" s="29"/>
      <c r="D49" s="30"/>
      <c r="E49" s="30"/>
      <c r="F49" s="30"/>
      <c r="G49" s="30"/>
      <c r="H49" s="30">
        <v>10000</v>
      </c>
    </row>
    <row r="50" spans="1:10" x14ac:dyDescent="0.25">
      <c r="B50" s="29"/>
      <c r="C50" s="29"/>
      <c r="D50" s="30"/>
      <c r="E50" s="30"/>
      <c r="F50" s="30"/>
      <c r="G50" s="30"/>
      <c r="H50" s="30"/>
    </row>
    <row r="51" spans="1:10" x14ac:dyDescent="0.25">
      <c r="B51" s="28"/>
      <c r="C51" s="31"/>
      <c r="D51" s="31"/>
      <c r="E51" s="31"/>
      <c r="F51" s="31"/>
      <c r="G51" s="31"/>
      <c r="H51" s="29"/>
    </row>
    <row r="52" spans="1:10" x14ac:dyDescent="0.25">
      <c r="A52" s="34" t="s">
        <v>185</v>
      </c>
      <c r="B52" s="28"/>
      <c r="C52" s="35">
        <f t="shared" ref="C52:H52" si="9">SUM(C53:C59)</f>
        <v>10000</v>
      </c>
      <c r="D52" s="35">
        <f t="shared" si="9"/>
        <v>10000</v>
      </c>
      <c r="E52" s="35">
        <f t="shared" si="9"/>
        <v>25000</v>
      </c>
      <c r="F52" s="35">
        <f t="shared" si="9"/>
        <v>25000</v>
      </c>
      <c r="G52" s="35">
        <f t="shared" si="9"/>
        <v>0</v>
      </c>
      <c r="H52" s="35">
        <f t="shared" si="9"/>
        <v>10000</v>
      </c>
      <c r="I52" s="3">
        <f>SUM(C52:H52)</f>
        <v>80000</v>
      </c>
    </row>
    <row r="53" spans="1:10" x14ac:dyDescent="0.25">
      <c r="A53" s="34"/>
      <c r="B53" s="29" t="s">
        <v>152</v>
      </c>
      <c r="C53" s="31">
        <v>0</v>
      </c>
      <c r="D53" s="31"/>
      <c r="E53" s="31"/>
      <c r="F53" s="31"/>
      <c r="G53" s="31"/>
      <c r="H53" s="29"/>
    </row>
    <row r="54" spans="1:10" x14ac:dyDescent="0.25">
      <c r="B54" s="29" t="s">
        <v>156</v>
      </c>
      <c r="C54" s="30"/>
      <c r="D54" s="30"/>
      <c r="E54" s="30">
        <v>25000</v>
      </c>
      <c r="F54" s="30"/>
      <c r="G54" s="30"/>
      <c r="H54" s="30"/>
    </row>
    <row r="55" spans="1:10" x14ac:dyDescent="0.25">
      <c r="A55" s="34"/>
      <c r="B55" s="29" t="s">
        <v>218</v>
      </c>
      <c r="C55" s="31">
        <v>10000</v>
      </c>
      <c r="D55" s="31">
        <v>10000</v>
      </c>
      <c r="E55" s="31"/>
      <c r="F55" s="31"/>
      <c r="G55" s="31"/>
      <c r="H55" s="29"/>
    </row>
    <row r="56" spans="1:10" x14ac:dyDescent="0.25">
      <c r="B56" s="29" t="s">
        <v>221</v>
      </c>
      <c r="C56" s="29"/>
      <c r="D56" s="30"/>
      <c r="E56" s="30"/>
      <c r="F56" s="30">
        <v>25000</v>
      </c>
      <c r="G56" s="30"/>
      <c r="H56" s="30"/>
    </row>
    <row r="57" spans="1:10" x14ac:dyDescent="0.25">
      <c r="B57" s="29" t="s">
        <v>191</v>
      </c>
      <c r="C57" s="29"/>
      <c r="D57" s="30"/>
      <c r="E57" s="30"/>
      <c r="F57" s="30"/>
      <c r="G57" s="30"/>
      <c r="H57" s="30">
        <v>10000</v>
      </c>
    </row>
    <row r="58" spans="1:10" x14ac:dyDescent="0.25">
      <c r="B58" s="29"/>
      <c r="C58" s="29"/>
      <c r="D58" s="30"/>
      <c r="E58" s="30"/>
      <c r="F58" s="30"/>
      <c r="G58" s="30"/>
      <c r="H58" s="30"/>
    </row>
    <row r="59" spans="1:10" x14ac:dyDescent="0.25">
      <c r="A59" s="34"/>
      <c r="B59" s="29"/>
      <c r="C59" s="31"/>
      <c r="D59" s="31"/>
      <c r="E59" s="31"/>
      <c r="F59" s="31"/>
      <c r="G59" s="31"/>
      <c r="H59" s="29"/>
    </row>
    <row r="60" spans="1:10" x14ac:dyDescent="0.25">
      <c r="A60" s="34" t="s">
        <v>198</v>
      </c>
      <c r="B60" s="28"/>
      <c r="C60" s="35">
        <f>SUM(C61:C68)</f>
        <v>0</v>
      </c>
      <c r="D60" s="35">
        <f>SUM(D61:D68)</f>
        <v>0</v>
      </c>
      <c r="E60" s="35">
        <f>SUM(E61:E68)</f>
        <v>25000</v>
      </c>
      <c r="F60" s="35">
        <f>SUM(F61:F68)</f>
        <v>25000</v>
      </c>
      <c r="G60" s="35">
        <f>SUM(G61:G68)</f>
        <v>0</v>
      </c>
      <c r="H60" s="35">
        <f t="shared" ref="H60" si="10">SUM(H61:H68)</f>
        <v>10000</v>
      </c>
      <c r="I60" s="3">
        <f>SUM(C60:H60)</f>
        <v>60000</v>
      </c>
    </row>
    <row r="61" spans="1:10" x14ac:dyDescent="0.25">
      <c r="A61" s="34"/>
      <c r="B61" s="29" t="s">
        <v>152</v>
      </c>
      <c r="C61" s="31"/>
      <c r="D61" s="31"/>
      <c r="E61" s="31"/>
      <c r="F61" s="31"/>
      <c r="G61" s="31"/>
      <c r="H61" s="29"/>
    </row>
    <row r="62" spans="1:10" x14ac:dyDescent="0.25">
      <c r="B62" s="29" t="s">
        <v>156</v>
      </c>
      <c r="C62" s="30"/>
      <c r="D62" s="30"/>
      <c r="E62" s="30">
        <v>25000</v>
      </c>
      <c r="F62" s="30"/>
      <c r="G62" s="30"/>
      <c r="H62" s="30"/>
    </row>
    <row r="63" spans="1:10" x14ac:dyDescent="0.25">
      <c r="B63" s="29" t="s">
        <v>157</v>
      </c>
      <c r="C63" s="30">
        <v>0</v>
      </c>
      <c r="D63" s="30"/>
      <c r="E63" s="30"/>
      <c r="F63" s="30"/>
      <c r="G63" s="30"/>
      <c r="H63" s="30"/>
      <c r="J63" t="s">
        <v>158</v>
      </c>
    </row>
    <row r="64" spans="1:10" x14ac:dyDescent="0.25">
      <c r="B64" s="29" t="s">
        <v>221</v>
      </c>
      <c r="C64" s="29"/>
      <c r="D64" s="30"/>
      <c r="E64" s="30"/>
      <c r="F64" s="30">
        <v>25000</v>
      </c>
      <c r="G64" s="30"/>
      <c r="H64" s="30"/>
    </row>
    <row r="65" spans="1:8" x14ac:dyDescent="0.25">
      <c r="B65" s="29" t="s">
        <v>191</v>
      </c>
      <c r="C65" s="29"/>
      <c r="D65" s="30"/>
      <c r="E65" s="30"/>
      <c r="F65" s="30"/>
      <c r="G65" s="30"/>
      <c r="H65" s="30">
        <v>10000</v>
      </c>
    </row>
    <row r="66" spans="1:8" x14ac:dyDescent="0.25">
      <c r="A66" s="34"/>
      <c r="B66" s="29"/>
      <c r="C66" s="31"/>
      <c r="D66" s="31"/>
      <c r="E66" s="31"/>
      <c r="F66" s="31"/>
      <c r="G66" s="31"/>
      <c r="H66" s="29"/>
    </row>
    <row r="67" spans="1:8" x14ac:dyDescent="0.25">
      <c r="A67" s="34"/>
      <c r="B67" s="29"/>
      <c r="C67" s="31"/>
      <c r="D67" s="31"/>
      <c r="E67" s="31"/>
      <c r="F67" s="31"/>
      <c r="G67" s="31"/>
      <c r="H67" s="29"/>
    </row>
    <row r="68" spans="1:8" x14ac:dyDescent="0.25">
      <c r="A68" s="51" t="s">
        <v>256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0"/>
  <sheetViews>
    <sheetView showGridLines="0" tabSelected="1" zoomScale="90" zoomScaleNormal="90" workbookViewId="0"/>
  </sheetViews>
  <sheetFormatPr defaultRowHeight="15" x14ac:dyDescent="0.25"/>
  <cols>
    <col min="1" max="1" width="2.7109375" customWidth="1"/>
    <col min="2" max="2" width="44.140625" bestFit="1" customWidth="1"/>
    <col min="3" max="3" width="20.42578125" bestFit="1" customWidth="1"/>
    <col min="4" max="8" width="18" customWidth="1"/>
    <col min="9" max="9" width="0" hidden="1" customWidth="1"/>
  </cols>
  <sheetData>
    <row r="2" spans="2:9" ht="26.25" x14ac:dyDescent="0.4">
      <c r="B2" s="53" t="s">
        <v>244</v>
      </c>
      <c r="C2" s="53"/>
      <c r="D2" s="53"/>
      <c r="E2" s="53"/>
      <c r="F2" s="53"/>
      <c r="G2" s="53"/>
      <c r="H2" s="53"/>
      <c r="I2" s="53"/>
    </row>
    <row r="3" spans="2:9" ht="9.9499999999999993" customHeight="1" x14ac:dyDescent="0.35">
      <c r="C3" s="9"/>
      <c r="D3" s="9"/>
      <c r="E3" s="9"/>
      <c r="F3" s="9"/>
      <c r="G3" s="9"/>
      <c r="H3" s="9"/>
    </row>
    <row r="4" spans="2:9" ht="21" x14ac:dyDescent="0.35">
      <c r="B4" s="10"/>
      <c r="C4" s="11" t="s">
        <v>196</v>
      </c>
      <c r="D4" s="11" t="s">
        <v>197</v>
      </c>
      <c r="E4" s="11">
        <v>2022</v>
      </c>
      <c r="F4" s="11" t="s">
        <v>179</v>
      </c>
      <c r="G4" s="11" t="s">
        <v>185</v>
      </c>
      <c r="H4" s="11" t="s">
        <v>198</v>
      </c>
      <c r="I4" s="11" t="s">
        <v>180</v>
      </c>
    </row>
    <row r="5" spans="2:9" ht="21" x14ac:dyDescent="0.35">
      <c r="B5" s="12" t="s">
        <v>236</v>
      </c>
      <c r="C5" s="46">
        <v>1755340</v>
      </c>
      <c r="D5" s="46">
        <f>C15</f>
        <v>1368000</v>
      </c>
      <c r="E5" s="46">
        <f>+D22</f>
        <v>753125.95</v>
      </c>
      <c r="F5" s="46">
        <f>+E22</f>
        <v>302125.94999999995</v>
      </c>
      <c r="G5" s="46">
        <f t="shared" ref="G5:H5" si="0">+F22</f>
        <v>212125.94999999995</v>
      </c>
      <c r="H5" s="46">
        <f t="shared" si="0"/>
        <v>172125.94999999995</v>
      </c>
      <c r="I5" s="13"/>
    </row>
    <row r="6" spans="2:9" ht="9.9499999999999993" customHeight="1" x14ac:dyDescent="0.35">
      <c r="B6" s="14"/>
      <c r="C6" s="15"/>
      <c r="D6" s="15"/>
      <c r="E6" s="15"/>
      <c r="F6" s="15"/>
      <c r="G6" s="15"/>
      <c r="H6" s="15"/>
    </row>
    <row r="7" spans="2:9" ht="21" x14ac:dyDescent="0.35">
      <c r="B7" s="12" t="s">
        <v>165</v>
      </c>
      <c r="C7" s="13">
        <v>446750</v>
      </c>
      <c r="D7" s="16">
        <f>+BUDGET!H165</f>
        <v>405000</v>
      </c>
      <c r="E7" s="49">
        <v>400000</v>
      </c>
      <c r="F7" s="13">
        <v>400000</v>
      </c>
      <c r="G7" s="13">
        <v>400000</v>
      </c>
      <c r="H7" s="13">
        <v>400000</v>
      </c>
      <c r="I7" s="54">
        <f>SUM(C7:G8)</f>
        <v>2394550</v>
      </c>
    </row>
    <row r="8" spans="2:9" ht="21" x14ac:dyDescent="0.35">
      <c r="B8" s="12" t="s">
        <v>166</v>
      </c>
      <c r="C8" s="13">
        <v>94500</v>
      </c>
      <c r="D8" s="13">
        <f>+BUDGET!H166</f>
        <v>68300</v>
      </c>
      <c r="E8" s="13">
        <v>60000</v>
      </c>
      <c r="F8" s="13">
        <v>60000</v>
      </c>
      <c r="G8" s="13">
        <v>60000</v>
      </c>
      <c r="H8" s="13">
        <v>60000</v>
      </c>
      <c r="I8" s="54"/>
    </row>
    <row r="9" spans="2:9" ht="21" x14ac:dyDescent="0.35">
      <c r="B9" s="12" t="s">
        <v>243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42"/>
    </row>
    <row r="10" spans="2:9" ht="9.9499999999999993" customHeight="1" x14ac:dyDescent="0.35">
      <c r="B10" s="14"/>
      <c r="C10" s="13"/>
      <c r="D10" s="13"/>
      <c r="E10" s="13"/>
      <c r="F10" s="13"/>
      <c r="G10" s="13"/>
      <c r="H10" s="13"/>
    </row>
    <row r="11" spans="2:9" ht="21" x14ac:dyDescent="0.35">
      <c r="B11" s="12" t="s">
        <v>167</v>
      </c>
      <c r="C11" s="13">
        <v>395914.08999999997</v>
      </c>
      <c r="D11" s="13">
        <f>+BUDGET!H159-PROJECTION1!D12</f>
        <v>399584.25</v>
      </c>
      <c r="E11" s="13">
        <v>400000</v>
      </c>
      <c r="F11" s="13">
        <v>410000</v>
      </c>
      <c r="G11" s="13">
        <v>420000</v>
      </c>
      <c r="H11" s="13">
        <v>430000</v>
      </c>
      <c r="I11" s="13">
        <f>SUM(C11:G11)</f>
        <v>2025498.3399999999</v>
      </c>
    </row>
    <row r="12" spans="2:9" ht="21" x14ac:dyDescent="0.35">
      <c r="B12" s="12" t="s">
        <v>223</v>
      </c>
      <c r="C12" s="13">
        <v>532676.74</v>
      </c>
      <c r="D12" s="13">
        <f>ROADS!I2</f>
        <v>688589.8</v>
      </c>
      <c r="E12" s="13">
        <f>ROADS!I3</f>
        <v>511000</v>
      </c>
      <c r="F12" s="13">
        <f>ROADS!I4</f>
        <v>140000</v>
      </c>
      <c r="G12" s="13">
        <f>ROADS!I5</f>
        <v>80000</v>
      </c>
      <c r="H12" s="13">
        <f>ROADS!I6</f>
        <v>60000</v>
      </c>
      <c r="I12" s="13">
        <f>SUM(C12:G12)</f>
        <v>1952266.54</v>
      </c>
    </row>
    <row r="13" spans="2:9" ht="21" x14ac:dyDescent="0.35">
      <c r="B13" s="12" t="s">
        <v>242</v>
      </c>
      <c r="C13" s="13">
        <v>0</v>
      </c>
      <c r="D13" s="13">
        <f>25000+200000</f>
        <v>225000</v>
      </c>
      <c r="E13" s="13">
        <f>25000</f>
        <v>25000</v>
      </c>
      <c r="F13" s="13">
        <f>25000+5000</f>
        <v>30000</v>
      </c>
      <c r="G13" s="13">
        <f>25000+5000</f>
        <v>30000</v>
      </c>
      <c r="H13" s="13">
        <f>25000+5000</f>
        <v>30000</v>
      </c>
      <c r="I13" s="13"/>
    </row>
    <row r="14" spans="2:9" ht="9.9499999999999993" customHeight="1" x14ac:dyDescent="0.35">
      <c r="I14" s="13"/>
    </row>
    <row r="15" spans="2:9" ht="21" x14ac:dyDescent="0.35">
      <c r="B15" s="12" t="s">
        <v>241</v>
      </c>
      <c r="C15" s="46">
        <f>ROUND(C5+C7+C8-C11-C12,-3)</f>
        <v>1368000</v>
      </c>
      <c r="D15" s="46">
        <f>D5+D7+D8-D11-D12+D17</f>
        <v>978125.95</v>
      </c>
      <c r="E15" s="46">
        <f>E5+E7+E8-E11-E12+E17</f>
        <v>552125.94999999995</v>
      </c>
      <c r="F15" s="46">
        <f>F5+F7+F8-F11-F12+F17</f>
        <v>492125.94999999995</v>
      </c>
      <c r="G15" s="46">
        <f>G5+G7+G8-G11-G12+G17</f>
        <v>482125.94999999995</v>
      </c>
      <c r="H15" s="46">
        <f>H5+H7+H8-H11-H12+H17</f>
        <v>482125.94999999995</v>
      </c>
      <c r="I15" s="13"/>
    </row>
    <row r="16" spans="2:9" ht="9.9499999999999993" customHeight="1" x14ac:dyDescent="0.35">
      <c r="B16" s="17"/>
      <c r="C16" s="17"/>
      <c r="D16" s="17"/>
      <c r="E16" s="17"/>
      <c r="F16" s="17"/>
      <c r="G16" s="17"/>
      <c r="H16" s="17"/>
      <c r="I16" s="13"/>
    </row>
    <row r="17" spans="2:9" ht="21" x14ac:dyDescent="0.35">
      <c r="B17" s="12" t="s">
        <v>240</v>
      </c>
      <c r="C17" s="13">
        <v>0</v>
      </c>
      <c r="D17" s="13">
        <f>+C17+D13-D9</f>
        <v>225000</v>
      </c>
      <c r="E17" s="13">
        <f>+D17+E13-E9</f>
        <v>250000</v>
      </c>
      <c r="F17" s="13">
        <f>+E17+F13-F9</f>
        <v>280000</v>
      </c>
      <c r="G17" s="13">
        <f>+F17+G13-G9</f>
        <v>310000</v>
      </c>
      <c r="H17" s="13">
        <f>+G17+H13-H9</f>
        <v>340000</v>
      </c>
      <c r="I17" s="13"/>
    </row>
    <row r="18" spans="2:9" ht="21" x14ac:dyDescent="0.35">
      <c r="B18" s="45" t="s">
        <v>251</v>
      </c>
      <c r="C18" s="13">
        <v>0</v>
      </c>
      <c r="D18" s="13">
        <v>200000</v>
      </c>
      <c r="E18" s="13">
        <f>+D18</f>
        <v>200000</v>
      </c>
      <c r="F18" s="13">
        <f>+E18+5000</f>
        <v>205000</v>
      </c>
      <c r="G18" s="13">
        <f>+F18+5000</f>
        <v>210000</v>
      </c>
      <c r="H18" s="13">
        <f>+G18+5000</f>
        <v>215000</v>
      </c>
      <c r="I18" s="13"/>
    </row>
    <row r="19" spans="2:9" ht="21" x14ac:dyDescent="0.35">
      <c r="B19" s="45" t="s">
        <v>255</v>
      </c>
      <c r="C19" s="13">
        <v>0</v>
      </c>
      <c r="D19" s="13">
        <v>0</v>
      </c>
      <c r="E19" s="13">
        <f>+D19</f>
        <v>0</v>
      </c>
      <c r="F19" s="13">
        <f>+E19</f>
        <v>0</v>
      </c>
      <c r="G19" s="13">
        <f>+F19</f>
        <v>0</v>
      </c>
      <c r="H19" s="13">
        <f>+G19</f>
        <v>0</v>
      </c>
      <c r="I19" s="13"/>
    </row>
    <row r="20" spans="2:9" ht="21" x14ac:dyDescent="0.35">
      <c r="B20" s="45" t="s">
        <v>221</v>
      </c>
      <c r="C20" s="13">
        <v>0</v>
      </c>
      <c r="D20" s="13">
        <v>25000</v>
      </c>
      <c r="E20" s="13">
        <f>+D20+25000</f>
        <v>50000</v>
      </c>
      <c r="F20" s="13">
        <f>+E20+25000</f>
        <v>75000</v>
      </c>
      <c r="G20" s="13">
        <f>+F20+25000</f>
        <v>100000</v>
      </c>
      <c r="H20" s="13">
        <f>+G20+25000</f>
        <v>125000</v>
      </c>
      <c r="I20" s="13"/>
    </row>
    <row r="21" spans="2:9" ht="9.9499999999999993" customHeight="1" x14ac:dyDescent="0.35">
      <c r="B21" s="17"/>
      <c r="C21" s="17"/>
      <c r="D21" s="17"/>
      <c r="E21" s="17"/>
      <c r="F21" s="17"/>
      <c r="G21" s="17"/>
      <c r="H21" s="17"/>
      <c r="I21" s="13"/>
    </row>
    <row r="22" spans="2:9" ht="21" x14ac:dyDescent="0.35">
      <c r="B22" s="12" t="s">
        <v>237</v>
      </c>
      <c r="C22" s="46">
        <f>+C15</f>
        <v>1368000</v>
      </c>
      <c r="D22" s="46">
        <f>+D15-D17</f>
        <v>753125.95</v>
      </c>
      <c r="E22" s="46">
        <f>+E15-E17</f>
        <v>302125.94999999995</v>
      </c>
      <c r="F22" s="46">
        <f>+F15-F17</f>
        <v>212125.94999999995</v>
      </c>
      <c r="G22" s="46">
        <f>+G15-G17</f>
        <v>172125.94999999995</v>
      </c>
      <c r="H22" s="46">
        <f>+H15-H17</f>
        <v>142125.94999999995</v>
      </c>
      <c r="I22" s="13"/>
    </row>
    <row r="23" spans="2:9" ht="9.9499999999999993" customHeight="1" x14ac:dyDescent="0.35">
      <c r="B23" s="17"/>
      <c r="C23" s="17"/>
      <c r="D23" s="17"/>
      <c r="E23" s="17"/>
      <c r="F23" s="17"/>
      <c r="G23" s="17"/>
      <c r="H23" s="17"/>
      <c r="I23" s="13"/>
    </row>
    <row r="24" spans="2:9" ht="39.6" customHeight="1" x14ac:dyDescent="0.25">
      <c r="B24" s="55" t="s">
        <v>252</v>
      </c>
      <c r="C24" s="55"/>
      <c r="D24" s="55"/>
      <c r="E24" s="55"/>
      <c r="F24" s="55"/>
      <c r="G24" s="55"/>
      <c r="H24" s="55"/>
      <c r="I24" s="55"/>
    </row>
    <row r="25" spans="2:9" x14ac:dyDescent="0.25">
      <c r="B25" s="8"/>
      <c r="C25" s="8"/>
      <c r="D25" s="8"/>
      <c r="E25" s="8"/>
      <c r="F25" s="8"/>
      <c r="G25" s="8"/>
      <c r="H25" s="8"/>
      <c r="I25" s="8"/>
    </row>
    <row r="26" spans="2:9" ht="21" x14ac:dyDescent="0.35">
      <c r="C26" s="8"/>
      <c r="D26" s="19" t="s">
        <v>224</v>
      </c>
      <c r="E26" s="50">
        <v>600000</v>
      </c>
      <c r="F26" s="18"/>
      <c r="G26" s="8"/>
      <c r="H26" s="8"/>
      <c r="I26" s="8"/>
    </row>
    <row r="27" spans="2:9" ht="21" x14ac:dyDescent="0.35">
      <c r="C27" s="8"/>
      <c r="D27" s="19" t="s">
        <v>254</v>
      </c>
      <c r="E27" s="50">
        <v>400000</v>
      </c>
      <c r="F27" s="50">
        <v>400000</v>
      </c>
      <c r="G27" s="50">
        <v>400000</v>
      </c>
      <c r="H27" s="50">
        <v>400000</v>
      </c>
      <c r="I27" s="8"/>
    </row>
    <row r="28" spans="2:9" x14ac:dyDescent="0.25">
      <c r="B28" s="8"/>
    </row>
    <row r="29" spans="2:9" x14ac:dyDescent="0.25">
      <c r="B29" s="56" t="s">
        <v>258</v>
      </c>
      <c r="C29" s="56"/>
      <c r="D29" s="56"/>
      <c r="E29" s="56"/>
      <c r="F29" s="56"/>
      <c r="G29" s="56"/>
      <c r="H29" s="56"/>
    </row>
    <row r="30" spans="2:9" x14ac:dyDescent="0.25">
      <c r="B30" s="56" t="s">
        <v>259</v>
      </c>
      <c r="C30" s="56"/>
      <c r="D30" s="56"/>
      <c r="E30" s="56"/>
      <c r="F30" s="56"/>
      <c r="G30" s="56"/>
      <c r="H30" s="56"/>
    </row>
  </sheetData>
  <mergeCells count="5">
    <mergeCell ref="B30:H30"/>
    <mergeCell ref="B2:I2"/>
    <mergeCell ref="I7:I8"/>
    <mergeCell ref="B24:I24"/>
    <mergeCell ref="B29:H29"/>
  </mergeCells>
  <pageMargins left="0.25" right="0.25" top="0.75" bottom="0.75" header="0.3" footer="0.3"/>
  <pageSetup scale="85" orientation="landscape" horizontalDpi="4294967293" r:id="rId1"/>
  <ignoredErrors>
    <ignoredError sqref="D4:H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C35D-1498-4339-976D-6ABA300F9236}">
  <sheetPr>
    <pageSetUpPr fitToPage="1"/>
  </sheetPr>
  <dimension ref="B2:I30"/>
  <sheetViews>
    <sheetView showGridLines="0" workbookViewId="0">
      <selection activeCell="B29" sqref="B29:H30"/>
    </sheetView>
  </sheetViews>
  <sheetFormatPr defaultRowHeight="15" x14ac:dyDescent="0.25"/>
  <cols>
    <col min="1" max="1" width="2.7109375" customWidth="1"/>
    <col min="2" max="2" width="44.140625" bestFit="1" customWidth="1"/>
    <col min="3" max="3" width="20.42578125" bestFit="1" customWidth="1"/>
    <col min="4" max="8" width="18" customWidth="1"/>
    <col min="9" max="9" width="0" hidden="1" customWidth="1"/>
  </cols>
  <sheetData>
    <row r="2" spans="2:9" ht="26.25" x14ac:dyDescent="0.4">
      <c r="B2" s="53" t="s">
        <v>244</v>
      </c>
      <c r="C2" s="53"/>
      <c r="D2" s="53"/>
      <c r="E2" s="53"/>
      <c r="F2" s="53"/>
      <c r="G2" s="53"/>
      <c r="H2" s="53"/>
      <c r="I2" s="53"/>
    </row>
    <row r="3" spans="2:9" ht="9.9499999999999993" customHeight="1" x14ac:dyDescent="0.35">
      <c r="C3" s="9"/>
      <c r="D3" s="9"/>
      <c r="E3" s="9"/>
      <c r="F3" s="9"/>
      <c r="G3" s="9"/>
      <c r="H3" s="9"/>
    </row>
    <row r="4" spans="2:9" ht="21" x14ac:dyDescent="0.35">
      <c r="B4" s="10"/>
      <c r="C4" s="11" t="s">
        <v>196</v>
      </c>
      <c r="D4" s="11" t="s">
        <v>197</v>
      </c>
      <c r="E4" s="11">
        <v>2022</v>
      </c>
      <c r="F4" s="11" t="s">
        <v>179</v>
      </c>
      <c r="G4" s="11" t="s">
        <v>185</v>
      </c>
      <c r="H4" s="11" t="s">
        <v>198</v>
      </c>
      <c r="I4" s="11" t="s">
        <v>180</v>
      </c>
    </row>
    <row r="5" spans="2:9" ht="21" x14ac:dyDescent="0.35">
      <c r="B5" s="12" t="s">
        <v>236</v>
      </c>
      <c r="C5" s="46">
        <v>1755340</v>
      </c>
      <c r="D5" s="46">
        <f>C15</f>
        <v>1368000</v>
      </c>
      <c r="E5" s="46">
        <f>+D22</f>
        <v>753125.95</v>
      </c>
      <c r="F5" s="46">
        <f>+E22</f>
        <v>302125.94999999995</v>
      </c>
      <c r="G5" s="46">
        <f t="shared" ref="G5:H5" si="0">+F22</f>
        <v>412125.94999999995</v>
      </c>
      <c r="H5" s="46">
        <f t="shared" si="0"/>
        <v>572125.94999999995</v>
      </c>
      <c r="I5" s="13"/>
    </row>
    <row r="6" spans="2:9" ht="9.9499999999999993" customHeight="1" x14ac:dyDescent="0.35">
      <c r="B6" s="14"/>
      <c r="C6" s="15"/>
      <c r="D6" s="15"/>
      <c r="E6" s="15"/>
      <c r="F6" s="15"/>
      <c r="G6" s="15"/>
      <c r="H6" s="15"/>
    </row>
    <row r="7" spans="2:9" ht="21" x14ac:dyDescent="0.35">
      <c r="B7" s="12" t="s">
        <v>165</v>
      </c>
      <c r="C7" s="13">
        <v>446750</v>
      </c>
      <c r="D7" s="16">
        <f>+BUDGET!H165</f>
        <v>405000</v>
      </c>
      <c r="E7" s="49">
        <v>400000</v>
      </c>
      <c r="F7" s="13">
        <v>600000</v>
      </c>
      <c r="G7" s="13">
        <v>600000</v>
      </c>
      <c r="H7" s="13">
        <v>600000</v>
      </c>
      <c r="I7" s="54">
        <f>SUM(C7:G8)</f>
        <v>2794550</v>
      </c>
    </row>
    <row r="8" spans="2:9" ht="21" x14ac:dyDescent="0.35">
      <c r="B8" s="12" t="s">
        <v>166</v>
      </c>
      <c r="C8" s="13">
        <v>94500</v>
      </c>
      <c r="D8" s="13">
        <f>+BUDGET!H166</f>
        <v>68300</v>
      </c>
      <c r="E8" s="13">
        <v>60000</v>
      </c>
      <c r="F8" s="13">
        <v>60000</v>
      </c>
      <c r="G8" s="13">
        <v>60000</v>
      </c>
      <c r="H8" s="13">
        <v>60000</v>
      </c>
      <c r="I8" s="54"/>
    </row>
    <row r="9" spans="2:9" ht="21" x14ac:dyDescent="0.35">
      <c r="B9" s="12" t="s">
        <v>243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48"/>
    </row>
    <row r="10" spans="2:9" ht="9.9499999999999993" customHeight="1" x14ac:dyDescent="0.35">
      <c r="B10" s="14"/>
      <c r="C10" s="13"/>
      <c r="D10" s="13"/>
      <c r="E10" s="13"/>
      <c r="F10" s="13"/>
      <c r="G10" s="13"/>
      <c r="H10" s="13"/>
    </row>
    <row r="11" spans="2:9" ht="21" x14ac:dyDescent="0.35">
      <c r="B11" s="12" t="s">
        <v>167</v>
      </c>
      <c r="C11" s="13">
        <v>395914.08999999997</v>
      </c>
      <c r="D11" s="13">
        <f>+BUDGET!H159-PROJECTION1!D12</f>
        <v>399584.25</v>
      </c>
      <c r="E11" s="13">
        <v>400000</v>
      </c>
      <c r="F11" s="13">
        <v>410000</v>
      </c>
      <c r="G11" s="13">
        <v>420000</v>
      </c>
      <c r="H11" s="13">
        <v>430000</v>
      </c>
      <c r="I11" s="13">
        <f>SUM(C11:G11)</f>
        <v>2025498.3399999999</v>
      </c>
    </row>
    <row r="12" spans="2:9" ht="21" x14ac:dyDescent="0.35">
      <c r="B12" s="12" t="s">
        <v>223</v>
      </c>
      <c r="C12" s="13">
        <v>532676.74</v>
      </c>
      <c r="D12" s="13">
        <f>ROADS!I2</f>
        <v>688589.8</v>
      </c>
      <c r="E12" s="13">
        <f>ROADS!I3</f>
        <v>511000</v>
      </c>
      <c r="F12" s="13">
        <f>ROADS!I4</f>
        <v>140000</v>
      </c>
      <c r="G12" s="13">
        <f>ROADS!I5</f>
        <v>80000</v>
      </c>
      <c r="H12" s="13">
        <f>ROADS!I6</f>
        <v>60000</v>
      </c>
      <c r="I12" s="13">
        <f>SUM(C12:G12)</f>
        <v>1952266.54</v>
      </c>
    </row>
    <row r="13" spans="2:9" ht="21" x14ac:dyDescent="0.35">
      <c r="B13" s="12" t="s">
        <v>242</v>
      </c>
      <c r="C13" s="13">
        <v>0</v>
      </c>
      <c r="D13" s="13">
        <f>25000+200000</f>
        <v>225000</v>
      </c>
      <c r="E13" s="13">
        <f>25000</f>
        <v>25000</v>
      </c>
      <c r="F13" s="13">
        <f>25000+5000</f>
        <v>30000</v>
      </c>
      <c r="G13" s="13">
        <f>25000+5000</f>
        <v>30000</v>
      </c>
      <c r="H13" s="13">
        <f>25000+5000</f>
        <v>30000</v>
      </c>
      <c r="I13" s="13"/>
    </row>
    <row r="14" spans="2:9" ht="9.9499999999999993" customHeight="1" x14ac:dyDescent="0.35">
      <c r="I14" s="13"/>
    </row>
    <row r="15" spans="2:9" ht="21" x14ac:dyDescent="0.35">
      <c r="B15" s="12" t="s">
        <v>241</v>
      </c>
      <c r="C15" s="46">
        <f>ROUND(C5+C7+C8-C11-C12,-3)</f>
        <v>1368000</v>
      </c>
      <c r="D15" s="46">
        <f>D5+D7+D8-D11-D12+D17</f>
        <v>978125.95</v>
      </c>
      <c r="E15" s="46">
        <f>E5+E7+E8-E11-E12+E17</f>
        <v>552125.94999999995</v>
      </c>
      <c r="F15" s="46">
        <f>F5+F7+F8-F11-F12+F17</f>
        <v>692125.95</v>
      </c>
      <c r="G15" s="46">
        <f>G5+G7+G8-G11-G12+G17</f>
        <v>882125.95</v>
      </c>
      <c r="H15" s="46">
        <f>H5+H7+H8-H11-H12+H17</f>
        <v>1082125.95</v>
      </c>
      <c r="I15" s="13"/>
    </row>
    <row r="16" spans="2:9" ht="9.9499999999999993" customHeight="1" x14ac:dyDescent="0.35">
      <c r="B16" s="17"/>
      <c r="C16" s="17"/>
      <c r="D16" s="17"/>
      <c r="E16" s="17"/>
      <c r="F16" s="17"/>
      <c r="G16" s="17"/>
      <c r="H16" s="17"/>
      <c r="I16" s="13"/>
    </row>
    <row r="17" spans="2:9" ht="21" x14ac:dyDescent="0.35">
      <c r="B17" s="12" t="s">
        <v>240</v>
      </c>
      <c r="C17" s="13">
        <v>0</v>
      </c>
      <c r="D17" s="13">
        <f>+C17+D13-D9</f>
        <v>225000</v>
      </c>
      <c r="E17" s="13">
        <f>+D17+E13-E9</f>
        <v>250000</v>
      </c>
      <c r="F17" s="13">
        <f>+E17+F13-F9</f>
        <v>280000</v>
      </c>
      <c r="G17" s="13">
        <f>+F17+G13-G9</f>
        <v>310000</v>
      </c>
      <c r="H17" s="13">
        <f>+G17+H13-H9</f>
        <v>340000</v>
      </c>
      <c r="I17" s="13"/>
    </row>
    <row r="18" spans="2:9" ht="21" x14ac:dyDescent="0.35">
      <c r="B18" s="45" t="s">
        <v>251</v>
      </c>
      <c r="C18" s="13">
        <v>0</v>
      </c>
      <c r="D18" s="13">
        <v>200000</v>
      </c>
      <c r="E18" s="13">
        <f>+D18</f>
        <v>200000</v>
      </c>
      <c r="F18" s="13">
        <f>+E18+5000</f>
        <v>205000</v>
      </c>
      <c r="G18" s="13">
        <f>+F18+5000</f>
        <v>210000</v>
      </c>
      <c r="H18" s="13">
        <f>+G18+5000</f>
        <v>215000</v>
      </c>
      <c r="I18" s="13"/>
    </row>
    <row r="19" spans="2:9" ht="21" x14ac:dyDescent="0.35">
      <c r="B19" s="45" t="s">
        <v>255</v>
      </c>
      <c r="C19" s="13">
        <v>0</v>
      </c>
      <c r="D19" s="13">
        <v>0</v>
      </c>
      <c r="E19" s="13">
        <f>+D19</f>
        <v>0</v>
      </c>
      <c r="F19" s="13">
        <f>+E19</f>
        <v>0</v>
      </c>
      <c r="G19" s="13">
        <f>+F19</f>
        <v>0</v>
      </c>
      <c r="H19" s="13">
        <f>+G19</f>
        <v>0</v>
      </c>
      <c r="I19" s="13"/>
    </row>
    <row r="20" spans="2:9" ht="21" x14ac:dyDescent="0.35">
      <c r="B20" s="45" t="s">
        <v>221</v>
      </c>
      <c r="C20" s="13">
        <v>0</v>
      </c>
      <c r="D20" s="13">
        <v>25000</v>
      </c>
      <c r="E20" s="13">
        <f>+D20+25000</f>
        <v>50000</v>
      </c>
      <c r="F20" s="13">
        <f>+E20+25000</f>
        <v>75000</v>
      </c>
      <c r="G20" s="13">
        <f>+F20+25000</f>
        <v>100000</v>
      </c>
      <c r="H20" s="13">
        <f>+G20+25000</f>
        <v>125000</v>
      </c>
      <c r="I20" s="13"/>
    </row>
    <row r="21" spans="2:9" ht="9.9499999999999993" customHeight="1" x14ac:dyDescent="0.35">
      <c r="B21" s="17"/>
      <c r="C21" s="17"/>
      <c r="D21" s="17"/>
      <c r="E21" s="17"/>
      <c r="F21" s="17"/>
      <c r="G21" s="17"/>
      <c r="H21" s="17"/>
      <c r="I21" s="13"/>
    </row>
    <row r="22" spans="2:9" ht="21" x14ac:dyDescent="0.35">
      <c r="B22" s="12" t="s">
        <v>237</v>
      </c>
      <c r="C22" s="46">
        <f>+C15</f>
        <v>1368000</v>
      </c>
      <c r="D22" s="46">
        <f>+D15-D17</f>
        <v>753125.95</v>
      </c>
      <c r="E22" s="46">
        <f>+E15-E17</f>
        <v>302125.94999999995</v>
      </c>
      <c r="F22" s="46">
        <f>+F15-F17</f>
        <v>412125.94999999995</v>
      </c>
      <c r="G22" s="46">
        <f>+G15-G17</f>
        <v>572125.94999999995</v>
      </c>
      <c r="H22" s="46">
        <f>+H15-H17</f>
        <v>742125.95</v>
      </c>
      <c r="I22" s="13"/>
    </row>
    <row r="23" spans="2:9" ht="9.9499999999999993" customHeight="1" x14ac:dyDescent="0.35">
      <c r="B23" s="17"/>
      <c r="C23" s="17"/>
      <c r="D23" s="17"/>
      <c r="E23" s="17"/>
      <c r="F23" s="17"/>
      <c r="G23" s="17"/>
      <c r="H23" s="17"/>
      <c r="I23" s="13"/>
    </row>
    <row r="24" spans="2:9" ht="15.75" x14ac:dyDescent="0.25">
      <c r="B24" s="55" t="s">
        <v>252</v>
      </c>
      <c r="C24" s="55"/>
      <c r="D24" s="55"/>
      <c r="E24" s="55"/>
      <c r="F24" s="55"/>
      <c r="G24" s="55"/>
      <c r="H24" s="55"/>
      <c r="I24" s="55"/>
    </row>
    <row r="25" spans="2:9" x14ac:dyDescent="0.25">
      <c r="B25" s="8"/>
      <c r="C25" s="8"/>
      <c r="D25" s="8"/>
      <c r="E25" s="8"/>
      <c r="F25" s="8"/>
      <c r="G25" s="8"/>
      <c r="H25" s="8"/>
      <c r="I25" s="8"/>
    </row>
    <row r="26" spans="2:9" ht="21" x14ac:dyDescent="0.35">
      <c r="C26" s="8"/>
      <c r="D26" s="19" t="s">
        <v>224</v>
      </c>
      <c r="E26" s="50">
        <v>600000</v>
      </c>
      <c r="F26" s="50">
        <v>600000</v>
      </c>
      <c r="G26" s="50">
        <v>600000</v>
      </c>
      <c r="H26" s="50">
        <v>600000</v>
      </c>
      <c r="I26" s="8"/>
    </row>
    <row r="27" spans="2:9" ht="21" x14ac:dyDescent="0.35">
      <c r="C27" s="8"/>
      <c r="D27" s="19" t="s">
        <v>254</v>
      </c>
      <c r="E27" s="50">
        <v>400000</v>
      </c>
      <c r="F27" s="8"/>
      <c r="G27" s="8"/>
      <c r="H27" s="8"/>
      <c r="I27" s="8"/>
    </row>
    <row r="28" spans="2:9" x14ac:dyDescent="0.25">
      <c r="B28" s="8"/>
    </row>
    <row r="29" spans="2:9" x14ac:dyDescent="0.25">
      <c r="B29" s="56" t="s">
        <v>258</v>
      </c>
      <c r="C29" s="56"/>
      <c r="D29" s="56"/>
      <c r="E29" s="56"/>
      <c r="F29" s="56"/>
      <c r="G29" s="56"/>
      <c r="H29" s="56"/>
    </row>
    <row r="30" spans="2:9" x14ac:dyDescent="0.25">
      <c r="B30" s="56" t="s">
        <v>257</v>
      </c>
      <c r="C30" s="56"/>
      <c r="D30" s="56"/>
      <c r="E30" s="56"/>
      <c r="F30" s="56"/>
      <c r="G30" s="56"/>
      <c r="H30" s="56"/>
    </row>
  </sheetData>
  <mergeCells count="5">
    <mergeCell ref="B2:I2"/>
    <mergeCell ref="I7:I8"/>
    <mergeCell ref="B24:I24"/>
    <mergeCell ref="B29:H29"/>
    <mergeCell ref="B30:H30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5314-1211-418E-83E1-0E9CB6139B7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</vt:lpstr>
      <vt:lpstr>BUDGET</vt:lpstr>
      <vt:lpstr>ROADS</vt:lpstr>
      <vt:lpstr>PROJECTION1</vt:lpstr>
      <vt:lpstr>PROJECTION2</vt:lpstr>
      <vt:lpstr>HISTORICAL</vt:lpstr>
      <vt:lpstr>BUDGET!Print_Area</vt:lpstr>
      <vt:lpstr>PROJECTION1!Print_Area</vt:lpstr>
      <vt:lpstr>BUDGET!Print_Titles</vt:lpstr>
      <vt:lpstr>ROADS!Print_Titles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Winde</dc:creator>
  <cp:lastModifiedBy>Windemere Township Treasurer</cp:lastModifiedBy>
  <cp:lastPrinted>2021-07-06T21:33:15Z</cp:lastPrinted>
  <dcterms:created xsi:type="dcterms:W3CDTF">2018-10-22T00:51:34Z</dcterms:created>
  <dcterms:modified xsi:type="dcterms:W3CDTF">2021-07-06T21:34:23Z</dcterms:modified>
</cp:coreProperties>
</file>